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8145" windowHeight="3345" firstSheet="3" activeTab="8"/>
  </bookViews>
  <sheets>
    <sheet name="e1_voti" sheetId="1" r:id="rId1"/>
    <sheet name="es2_edifici" sheetId="2" r:id="rId2"/>
    <sheet name="es3_trasmissioni" sheetId="3" r:id="rId3"/>
    <sheet name="es4_sigarette" sheetId="4" r:id="rId4"/>
    <sheet name="es5_famiglie" sheetId="5" r:id="rId5"/>
    <sheet name="es6_birra" sheetId="6" r:id="rId6"/>
    <sheet name="es7_cinema" sheetId="7" r:id="rId7"/>
    <sheet name="es8_occupati" sheetId="8" r:id="rId8"/>
    <sheet name="es9_sport" sheetId="9" r:id="rId9"/>
  </sheets>
  <definedNames>
    <definedName name="_xlnm.Print_Area" localSheetId="0">'e1_voti'!$A$1:$I$54</definedName>
    <definedName name="_xlnm.Print_Area" localSheetId="1">'es2_edifici'!$A$1:$G$61</definedName>
  </definedNames>
  <calcPr fullCalcOnLoad="1"/>
</workbook>
</file>

<file path=xl/sharedStrings.xml><?xml version="1.0" encoding="utf-8"?>
<sst xmlns="http://schemas.openxmlformats.org/spreadsheetml/2006/main" count="469" uniqueCount="317">
  <si>
    <t>Nome edificio</t>
  </si>
  <si>
    <t>Città</t>
  </si>
  <si>
    <t>Stato</t>
  </si>
  <si>
    <t>Anno</t>
  </si>
  <si>
    <t>Numero</t>
  </si>
  <si>
    <t>Altezza</t>
  </si>
  <si>
    <t>costruzione</t>
  </si>
  <si>
    <t>di piani</t>
  </si>
  <si>
    <t>m</t>
  </si>
  <si>
    <t>Petronas Tower 1</t>
  </si>
  <si>
    <t xml:space="preserve"> Kuala Lumpur</t>
  </si>
  <si>
    <t>Malaysia</t>
  </si>
  <si>
    <t>Sears Tower</t>
  </si>
  <si>
    <t xml:space="preserve"> Chicago</t>
  </si>
  <si>
    <t>USA</t>
  </si>
  <si>
    <t>Jin Mao Building</t>
  </si>
  <si>
    <t xml:space="preserve"> Shanghai</t>
  </si>
  <si>
    <t>Cina</t>
  </si>
  <si>
    <t>Citic Plaza</t>
  </si>
  <si>
    <t xml:space="preserve"> Guangzhou</t>
  </si>
  <si>
    <t>Shun Hing Square</t>
  </si>
  <si>
    <t xml:space="preserve"> Shenzhen</t>
  </si>
  <si>
    <t>Empire State Building</t>
  </si>
  <si>
    <t xml:space="preserve"> New York</t>
  </si>
  <si>
    <t>Central Plaza</t>
  </si>
  <si>
    <t xml:space="preserve"> Hong Kong</t>
  </si>
  <si>
    <t>Corea</t>
  </si>
  <si>
    <t>Bank of China Tower</t>
  </si>
  <si>
    <t>Emirates Tower One</t>
  </si>
  <si>
    <t xml:space="preserve"> Dubai</t>
  </si>
  <si>
    <t>The Center</t>
  </si>
  <si>
    <t>T &amp; C Tower</t>
  </si>
  <si>
    <t xml:space="preserve"> Kaohsiung</t>
  </si>
  <si>
    <t>Taiwan</t>
  </si>
  <si>
    <t>Aon Centre</t>
  </si>
  <si>
    <t>John Hancock Center</t>
  </si>
  <si>
    <t>Burj al Arab Hotel</t>
  </si>
  <si>
    <t>Dubai</t>
  </si>
  <si>
    <t>Chrysler Building</t>
  </si>
  <si>
    <t>Bank of America Plaza</t>
  </si>
  <si>
    <t xml:space="preserve"> Atlanta</t>
  </si>
  <si>
    <t>Library Tower</t>
  </si>
  <si>
    <t xml:space="preserve"> Los Angeles</t>
  </si>
  <si>
    <t>Telekom Malaysia Headquarters</t>
  </si>
  <si>
    <t>Emirates Tower Two</t>
  </si>
  <si>
    <t>AT&amp;T Corporate Center</t>
  </si>
  <si>
    <t>Chase Tower</t>
  </si>
  <si>
    <t xml:space="preserve"> Houston</t>
  </si>
  <si>
    <t>Baiyoke Tower II</t>
  </si>
  <si>
    <t xml:space="preserve"> Bangkok</t>
  </si>
  <si>
    <t>Tailandia</t>
  </si>
  <si>
    <t>Two Prudential Plaza</t>
  </si>
  <si>
    <t>Pyongyang Hotel</t>
  </si>
  <si>
    <t xml:space="preserve"> Pyongyang</t>
  </si>
  <si>
    <t>Commerzbank Tower</t>
  </si>
  <si>
    <t>Francoforte</t>
  </si>
  <si>
    <t>Germania</t>
  </si>
  <si>
    <t>First Canadian Place</t>
  </si>
  <si>
    <t xml:space="preserve"> Toronto</t>
  </si>
  <si>
    <t>Canada</t>
  </si>
  <si>
    <t>Kingdom Centre</t>
  </si>
  <si>
    <t xml:space="preserve"> Riyadh</t>
  </si>
  <si>
    <t>Arabia Saudita</t>
  </si>
  <si>
    <t>Wells Fargo Plaza</t>
  </si>
  <si>
    <t>Landmark Tower</t>
  </si>
  <si>
    <t xml:space="preserve"> Yokohama</t>
  </si>
  <si>
    <t>Giappone</t>
  </si>
  <si>
    <t>Bank of America Center</t>
  </si>
  <si>
    <t xml:space="preserve"> Seattle</t>
  </si>
  <si>
    <t>311 South Wacker Drive</t>
  </si>
  <si>
    <t>SEG Plaza</t>
  </si>
  <si>
    <t xml:space="preserve"> Shenzen</t>
  </si>
  <si>
    <t>American International Building</t>
  </si>
  <si>
    <t>Cheung Kong Center</t>
  </si>
  <si>
    <t>Key Tower</t>
  </si>
  <si>
    <t xml:space="preserve"> Cleveland</t>
  </si>
  <si>
    <t>One Liberty Place</t>
  </si>
  <si>
    <t xml:space="preserve"> Philadelphia</t>
  </si>
  <si>
    <t>Sunjoy Tomorrow Square</t>
  </si>
  <si>
    <t>40 Wall Street</t>
  </si>
  <si>
    <t>Plaza 66</t>
  </si>
  <si>
    <t xml:space="preserve"> Dallas</t>
  </si>
  <si>
    <t>max</t>
  </si>
  <si>
    <t>min</t>
  </si>
  <si>
    <t>media</t>
  </si>
  <si>
    <t>%</t>
  </si>
  <si>
    <t>Numero totale edifici</t>
  </si>
  <si>
    <t>Numero edifici negli USA</t>
  </si>
  <si>
    <t>Numero edifici in Canada</t>
  </si>
  <si>
    <t>Numero edifici in Cina</t>
  </si>
  <si>
    <t>Numero edifici in Arabia Saudita</t>
  </si>
  <si>
    <t>Numero edifici in altri stati</t>
  </si>
  <si>
    <t>Numero edifici costruiti periodo 1930-1970</t>
  </si>
  <si>
    <t>Numero edifici costruiti periodo 1970-1990</t>
  </si>
  <si>
    <t>Numero edifici costruiti periodo 1990-2001</t>
  </si>
  <si>
    <t>totale</t>
  </si>
  <si>
    <t>VOTAZIONI UNIVERSITARIE</t>
  </si>
  <si>
    <t>Votazione</t>
  </si>
  <si>
    <t>Esame1</t>
  </si>
  <si>
    <t>Esame2</t>
  </si>
  <si>
    <t>Esame3</t>
  </si>
  <si>
    <t>Esame4</t>
  </si>
  <si>
    <t>Esame5</t>
  </si>
  <si>
    <t>Esame6</t>
  </si>
  <si>
    <t>Esame7</t>
  </si>
  <si>
    <t>Esame8</t>
  </si>
  <si>
    <t>Esame9</t>
  </si>
  <si>
    <t>Esame10</t>
  </si>
  <si>
    <t>Esame11</t>
  </si>
  <si>
    <t>Esame12</t>
  </si>
  <si>
    <t>Esame13</t>
  </si>
  <si>
    <t>Esame14</t>
  </si>
  <si>
    <t>Esame15</t>
  </si>
  <si>
    <t>Esame16</t>
  </si>
  <si>
    <t>Esame17</t>
  </si>
  <si>
    <t>Esame18</t>
  </si>
  <si>
    <t>Esame19</t>
  </si>
  <si>
    <t>Esame20</t>
  </si>
  <si>
    <t>Esame21</t>
  </si>
  <si>
    <t>Esame22</t>
  </si>
  <si>
    <t>Esame23</t>
  </si>
  <si>
    <t>Esame24</t>
  </si>
  <si>
    <t>Esame25</t>
  </si>
  <si>
    <t>Esame26</t>
  </si>
  <si>
    <t>Esame27</t>
  </si>
  <si>
    <t>Esame28</t>
  </si>
  <si>
    <t>Esame29</t>
  </si>
  <si>
    <t>Esame30</t>
  </si>
  <si>
    <t>Numero tot.esami</t>
  </si>
  <si>
    <t>Votazione 30</t>
  </si>
  <si>
    <t>Votazione 28</t>
  </si>
  <si>
    <t>Votazione 26</t>
  </si>
  <si>
    <t>Votazione 25</t>
  </si>
  <si>
    <t>Votazione 22</t>
  </si>
  <si>
    <t>Somma</t>
  </si>
  <si>
    <t>Media anno 1995</t>
  </si>
  <si>
    <t>Media anno 1996</t>
  </si>
  <si>
    <t>Media anno 1997</t>
  </si>
  <si>
    <t>Media anno 1998</t>
  </si>
  <si>
    <t>Media anno 1999</t>
  </si>
  <si>
    <t>Media anno 2000</t>
  </si>
  <si>
    <t>Media</t>
  </si>
  <si>
    <t>Minimo</t>
  </si>
  <si>
    <t>Massimo</t>
  </si>
  <si>
    <t>REGIONI E
RIPARTIZIONI</t>
  </si>
  <si>
    <t xml:space="preserve">15-24 </t>
  </si>
  <si>
    <t xml:space="preserve">25-34 </t>
  </si>
  <si>
    <t xml:space="preserve">35-44 </t>
  </si>
  <si>
    <t xml:space="preserve">45-54 </t>
  </si>
  <si>
    <t xml:space="preserve">55-64 </t>
  </si>
  <si>
    <t xml:space="preserve">Lombardia                             </t>
  </si>
  <si>
    <t>Numero medio giornaliero di sigarette consumate per sesso, classe di età e regione - Anno 2000</t>
  </si>
  <si>
    <t>Classi di età</t>
  </si>
  <si>
    <t>Nord</t>
  </si>
  <si>
    <t>Sud</t>
  </si>
  <si>
    <t>Centro</t>
  </si>
  <si>
    <t>65 e oltre</t>
  </si>
  <si>
    <t>Consumo max</t>
  </si>
  <si>
    <t>Lombardia/Italia</t>
  </si>
  <si>
    <t>Lombardia/Nord</t>
  </si>
  <si>
    <t>Lombardia/Centro</t>
  </si>
  <si>
    <t>Lombardia/Sud</t>
  </si>
  <si>
    <t>MASCHI</t>
  </si>
  <si>
    <t>FEMMINE</t>
  </si>
  <si>
    <t>Italia (media)</t>
  </si>
  <si>
    <t>FILM</t>
  </si>
  <si>
    <t>SPORT</t>
  </si>
  <si>
    <t>VARIETA'</t>
  </si>
  <si>
    <t>RAI</t>
  </si>
  <si>
    <t>RAI 1</t>
  </si>
  <si>
    <t>RAI 3</t>
  </si>
  <si>
    <t>RAI 2</t>
  </si>
  <si>
    <t>CANALE 5</t>
  </si>
  <si>
    <t>ITALIA 1</t>
  </si>
  <si>
    <t>RETE 4</t>
  </si>
  <si>
    <t>Ore trasmissione</t>
  </si>
  <si>
    <t>MUSICA</t>
  </si>
  <si>
    <t>INCHIESTE, DOCUMENTARI</t>
  </si>
  <si>
    <t>TELEGIORNALI</t>
  </si>
  <si>
    <t>PROGRAMMI CULTURALI</t>
  </si>
  <si>
    <t>Tot. Ore</t>
  </si>
  <si>
    <t>MEDIASET</t>
  </si>
  <si>
    <t>TOTALE RAI</t>
  </si>
  <si>
    <t>TOTALE MEDIASET</t>
  </si>
  <si>
    <t>TOTALI ore</t>
  </si>
  <si>
    <t xml:space="preserve">Ore trasmissione televisiva </t>
  </si>
  <si>
    <t>Rai o Mediaset ?</t>
  </si>
  <si>
    <t>Rai 1 o Canale 5 ?</t>
  </si>
  <si>
    <t>Rai 1 o Rai 3</t>
  </si>
  <si>
    <t>Canale 5 o Rete 4 ?</t>
  </si>
  <si>
    <t>% ore</t>
  </si>
  <si>
    <r>
      <t>Ore di trasmissione televisiva di Rai e Mediaset per canale, tipo di rete e di programma - Anno 2000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</si>
  <si>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t>Lombardia</t>
  </si>
  <si>
    <t>Numero di persone che bevono vino e/o birra (Anno 2000) - Tassi per 100 persone (dati ISTAT)</t>
  </si>
  <si>
    <t>BIRRA</t>
  </si>
  <si>
    <t>Diff. % consumo</t>
  </si>
  <si>
    <t>maschi/femm.</t>
  </si>
  <si>
    <t>15-34</t>
  </si>
  <si>
    <t>35-44</t>
  </si>
  <si>
    <t>45-54</t>
  </si>
  <si>
    <t>55-64</t>
  </si>
  <si>
    <t>(su valori medi)</t>
  </si>
  <si>
    <t>Numero persone</t>
  </si>
  <si>
    <t xml:space="preserve">Italia </t>
  </si>
  <si>
    <t>VINO</t>
  </si>
  <si>
    <t>Nord vino o birra</t>
  </si>
  <si>
    <t>Centro vino o birra</t>
  </si>
  <si>
    <t>Sud vino o birra</t>
  </si>
  <si>
    <t>Italia vino o birra</t>
  </si>
  <si>
    <t>ITALIA</t>
  </si>
  <si>
    <t>Piemonte</t>
  </si>
  <si>
    <t>Valle d'Aosta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</si>
  <si>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</si>
  <si>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</si>
  <si>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</si>
  <si>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</si>
  <si>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</si>
  <si>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</si>
  <si>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</si>
  <si>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</si>
  <si>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</si>
  <si>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</si>
  <si>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</si>
  <si>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</si>
  <si>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</si>
  <si>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</si>
  <si>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</si>
  <si>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</si>
  <si>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</si>
  <si>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Numero medio di componenti</t>
  </si>
  <si>
    <t>Composizione percentuale per num. componenti</t>
  </si>
  <si>
    <t>Numero medio di componenti per famiglia e composizione percentuale delle famiglie per numero</t>
  </si>
  <si>
    <t>Media anni 1999-2000 (dati ISTAT)</t>
  </si>
  <si>
    <t>1 componente</t>
  </si>
  <si>
    <t>2 componenti</t>
  </si>
  <si>
    <t>3 componenti</t>
  </si>
  <si>
    <t>4 componenti</t>
  </si>
  <si>
    <t>5 componenti</t>
  </si>
  <si>
    <t>6 e più componenti</t>
  </si>
  <si>
    <t>max per regioni [%]</t>
  </si>
  <si>
    <t>min per regioni [%]</t>
  </si>
  <si>
    <t>media per regioni [%]</t>
  </si>
  <si>
    <t>Num. regioni superiore media</t>
  </si>
  <si>
    <t>Num. regioni inferiore media</t>
  </si>
  <si>
    <t>Calcio, calcetto</t>
  </si>
  <si>
    <t>Sport
invernali,
alpinismo</t>
  </si>
  <si>
    <t>Maschi</t>
  </si>
  <si>
    <t>Femmine</t>
  </si>
  <si>
    <t>Numero sport praticati</t>
  </si>
  <si>
    <t>Uno</t>
  </si>
  <si>
    <t>Tre o più</t>
  </si>
  <si>
    <t>Due</t>
  </si>
  <si>
    <t>Motivazioni</t>
  </si>
  <si>
    <t>Svago</t>
  </si>
  <si>
    <t>Piacere, passione</t>
  </si>
  <si>
    <t>Tenersi in forma</t>
  </si>
  <si>
    <t>Scopo
tera-
peutico</t>
  </si>
  <si>
    <t>Frequen-
tare altre  persone</t>
  </si>
  <si>
    <t>Stare in mezzo alla
natura</t>
  </si>
  <si>
    <t>Stare al passo
con i tempi</t>
  </si>
  <si>
    <t>Scaricare lo stress</t>
  </si>
  <si>
    <t>Per i
valori che trasmette</t>
  </si>
  <si>
    <t>Anni</t>
  </si>
  <si>
    <t>Atletica
leggera, podismo</t>
  </si>
  <si>
    <t>Footing,
jogging</t>
  </si>
  <si>
    <t>Ciclismo</t>
  </si>
  <si>
    <t>Ginnastica, attrezzistica, danza</t>
  </si>
  <si>
    <t>Pallacanestro</t>
  </si>
  <si>
    <t>Pallavolo</t>
  </si>
  <si>
    <t>Nuoto,
pallanuoto,
tuffi</t>
  </si>
  <si>
    <t>Tennis e altri sport di racchetta</t>
  </si>
  <si>
    <t>Pratica sportiva</t>
  </si>
  <si>
    <t>Dati ISTAT)</t>
  </si>
  <si>
    <t>Più maschi o femmine rispetto a media</t>
  </si>
  <si>
    <t>max Italia</t>
  </si>
  <si>
    <t>min Italia</t>
  </si>
  <si>
    <t>Num. praticanti sup. media tot - Femmine</t>
  </si>
  <si>
    <t>Persone di 6 anni e più che praticano sport con continuità</t>
  </si>
  <si>
    <t>Num. anni maschi sup. media maschi</t>
  </si>
  <si>
    <t>Numero persone che praticano sport distinti per sesso</t>
  </si>
  <si>
    <t>Media tot. anni Maschi</t>
  </si>
  <si>
    <t>Media tot. anni Femmine</t>
  </si>
  <si>
    <t>Num. tot. motivazioni</t>
  </si>
  <si>
    <t>Tassi percentuali di occupazione nazionale - Anno 2001 (Dati ISTAT)</t>
  </si>
  <si>
    <t>Occupati</t>
  </si>
  <si>
    <t>Di cui occupati alle dipendenze</t>
  </si>
  <si>
    <t>Tot. occupati alle dipendenze</t>
  </si>
  <si>
    <t>Tot.occupati lavoro indipendente</t>
  </si>
  <si>
    <t>Agricoltura [%]</t>
  </si>
  <si>
    <t>Industria [%]</t>
  </si>
  <si>
    <t>Altre attività [%]</t>
  </si>
  <si>
    <t>Totale [%]</t>
  </si>
  <si>
    <t>Nord-Ovest</t>
  </si>
  <si>
    <t>Nord-Est</t>
  </si>
  <si>
    <t>dati per l'intera provincia</t>
  </si>
  <si>
    <t>provincia</t>
  </si>
  <si>
    <t>biglietti venduti</t>
  </si>
  <si>
    <t>percentuale rispetto  Lombardia</t>
  </si>
  <si>
    <t>spesa tot. (milioni di lire)</t>
  </si>
  <si>
    <t>spesa media biglietto (lire)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</si>
  <si>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</si>
  <si>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</si>
  <si>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</si>
  <si>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</si>
  <si>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</si>
  <si>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</si>
  <si>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</si>
  <si>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</si>
  <si>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</si>
  <si>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</si>
  <si>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</si>
  <si>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min prov.</t>
  </si>
  <si>
    <t>Numero provincie</t>
  </si>
  <si>
    <t>Province con più di 1.000.000 biglietti venduti</t>
  </si>
  <si>
    <t>Province con meno di 700.000 biglietti venduti</t>
  </si>
  <si>
    <t>biglietti venduti  per il cinematografo, per capoluogo di provincia - Anno 1998</t>
  </si>
  <si>
    <t>(spesa del pubblico in milioni di lire - valori correnti)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</si>
</sst>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_ ;\-#,##0\ "/>
    <numFmt numFmtId="166" formatCode="0.000"/>
    <numFmt numFmtId="167" formatCode="_-[$€-2]\ * #,##0.00_-;\-[$€-2]\ * #,##0.00_-;_-[$€-2]\ * &quot;-&quot;??_-"/>
    <numFmt numFmtId="168" formatCode="_-[$€-2]\ * #,##0_-;\-[$€-2]\ * #,##0_-;_-[$€-2]\ * &quot;-&quot;_-;_-@_-"/>
    <numFmt numFmtId="169" formatCode="_-[$€-2]\ * #,##0.00_-;\-[$€-2]\ * #,##0.00_-;_-[$€-2]\ * &quot;-&quot;??_-;_-@_-"/>
    <numFmt numFmtId="170" formatCode="_-[$€-2]\ * #,##0.0_-;\-[$€-2]\ * #,##0.0_-;_-[$€-2]\ * &quot;-&quot;_-;_-@_-"/>
    <numFmt numFmtId="171" formatCode="_-[$€-2]\ * #,##0.00_-;\-[$€-2]\ * #,##0.00_-;_-[$€-2]\ * &quot;-&quot;_-;_-@_-"/>
    <numFmt numFmtId="172" formatCode="0.0000000"/>
    <numFmt numFmtId="173" formatCode="0.000000"/>
    <numFmt numFmtId="174" formatCode="0.00000"/>
    <numFmt numFmtId="175" formatCode="0.0000"/>
    <numFmt numFmtId="176" formatCode="#,##0.00_ ;\-#,##0.00\ "/>
    <numFmt numFmtId="177" formatCode="0.000%"/>
    <numFmt numFmtId="178" formatCode="0.0000%"/>
    <numFmt numFmtId="179" formatCode="0.0%"/>
    <numFmt numFmtId="180" formatCode="&quot;L.&quot;\ #,##0"/>
    <numFmt numFmtId="181" formatCode="_-* #,##0.0_-;\-* #,##0.0_-;_-* &quot;-&quot;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2" borderId="4" xfId="0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left" wrapText="1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164" fontId="1" fillId="3" borderId="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10" fontId="0" fillId="3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10" fontId="0" fillId="3" borderId="3" xfId="0" applyNumberForma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0" borderId="3" xfId="0" applyFont="1" applyBorder="1" applyAlignment="1">
      <alignment/>
    </xf>
    <xf numFmtId="2" fontId="0" fillId="3" borderId="3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3" borderId="2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20" applyFont="1">
      <alignment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164" fontId="1" fillId="3" borderId="17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right"/>
    </xf>
    <xf numFmtId="10" fontId="1" fillId="3" borderId="17" xfId="0" applyNumberFormat="1" applyFont="1" applyFill="1" applyBorder="1" applyAlignment="1">
      <alignment horizontal="right"/>
    </xf>
    <xf numFmtId="10" fontId="1" fillId="3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wrapText="1"/>
    </xf>
    <xf numFmtId="164" fontId="1" fillId="3" borderId="21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right"/>
    </xf>
    <xf numFmtId="49" fontId="1" fillId="0" borderId="20" xfId="0" applyNumberFormat="1" applyFont="1" applyBorder="1" applyAlignment="1">
      <alignment horizontal="left"/>
    </xf>
    <xf numFmtId="164" fontId="1" fillId="3" borderId="21" xfId="0" applyNumberFormat="1" applyFont="1" applyFill="1" applyBorder="1" applyAlignment="1">
      <alignment horizontal="right"/>
    </xf>
    <xf numFmtId="164" fontId="1" fillId="3" borderId="23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/>
    </xf>
    <xf numFmtId="164" fontId="0" fillId="3" borderId="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49" fontId="3" fillId="0" borderId="15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" fillId="3" borderId="31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1" fillId="3" borderId="3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164" fontId="1" fillId="3" borderId="17" xfId="0" applyNumberFormat="1" applyFont="1" applyFill="1" applyBorder="1" applyAlignment="1">
      <alignment/>
    </xf>
    <xf numFmtId="164" fontId="1" fillId="3" borderId="20" xfId="0" applyNumberFormat="1" applyFont="1" applyFill="1" applyBorder="1" applyAlignment="1">
      <alignment/>
    </xf>
    <xf numFmtId="164" fontId="1" fillId="3" borderId="36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3" borderId="34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20" xfId="0" applyFont="1" applyBorder="1" applyAlignment="1">
      <alignment/>
    </xf>
    <xf numFmtId="164" fontId="0" fillId="3" borderId="17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3" borderId="21" xfId="0" applyNumberFormat="1" applyFont="1" applyFill="1" applyBorder="1" applyAlignment="1">
      <alignment horizontal="center"/>
    </xf>
    <xf numFmtId="164" fontId="0" fillId="3" borderId="23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5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64" fontId="0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164" fontId="0" fillId="3" borderId="38" xfId="0" applyNumberForma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0" fillId="3" borderId="13" xfId="0" applyNumberFormat="1" applyFill="1" applyBorder="1" applyAlignment="1">
      <alignment/>
    </xf>
    <xf numFmtId="49" fontId="4" fillId="0" borderId="17" xfId="0" applyNumberFormat="1" applyFont="1" applyFill="1" applyBorder="1" applyAlignment="1">
      <alignment horizontal="left"/>
    </xf>
    <xf numFmtId="164" fontId="0" fillId="3" borderId="39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40" xfId="0" applyNumberFormat="1" applyFill="1" applyBorder="1" applyAlignment="1">
      <alignment/>
    </xf>
    <xf numFmtId="49" fontId="4" fillId="0" borderId="21" xfId="0" applyNumberFormat="1" applyFont="1" applyFill="1" applyBorder="1" applyAlignment="1">
      <alignment horizontal="left"/>
    </xf>
    <xf numFmtId="164" fontId="0" fillId="3" borderId="37" xfId="0" applyNumberFormat="1" applyFill="1" applyBorder="1" applyAlignment="1">
      <alignment/>
    </xf>
    <xf numFmtId="164" fontId="0" fillId="3" borderId="21" xfId="0" applyNumberFormat="1" applyFill="1" applyBorder="1" applyAlignment="1">
      <alignment/>
    </xf>
    <xf numFmtId="164" fontId="0" fillId="3" borderId="41" xfId="0" applyNumberFormat="1" applyFill="1" applyBorder="1" applyAlignment="1">
      <alignment/>
    </xf>
    <xf numFmtId="49" fontId="3" fillId="0" borderId="2" xfId="0" applyNumberFormat="1" applyFont="1" applyFill="1" applyBorder="1" applyAlignment="1">
      <alignment horizontal="left" wrapText="1"/>
    </xf>
    <xf numFmtId="0" fontId="0" fillId="3" borderId="2" xfId="0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wrapText="1"/>
    </xf>
    <xf numFmtId="0" fontId="4" fillId="0" borderId="0" xfId="0" applyFont="1" applyAlignment="1">
      <alignment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0" xfId="0" applyFont="1" applyBorder="1" applyAlignment="1">
      <alignment/>
    </xf>
    <xf numFmtId="164" fontId="0" fillId="3" borderId="48" xfId="0" applyNumberFormat="1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3" borderId="18" xfId="0" applyNumberFormat="1" applyFont="1" applyFill="1" applyBorder="1" applyAlignment="1">
      <alignment/>
    </xf>
    <xf numFmtId="10" fontId="0" fillId="3" borderId="3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10" fontId="0" fillId="3" borderId="31" xfId="0" applyNumberFormat="1" applyFill="1" applyBorder="1" applyAlignment="1">
      <alignment horizontal="center"/>
    </xf>
    <xf numFmtId="0" fontId="1" fillId="0" borderId="20" xfId="0" applyFont="1" applyBorder="1" applyAlignment="1">
      <alignment/>
    </xf>
    <xf numFmtId="164" fontId="1" fillId="3" borderId="21" xfId="0" applyNumberFormat="1" applyFont="1" applyFill="1" applyBorder="1" applyAlignment="1">
      <alignment/>
    </xf>
    <xf numFmtId="164" fontId="1" fillId="3" borderId="23" xfId="0" applyNumberFormat="1" applyFont="1" applyFill="1" applyBorder="1" applyAlignment="1">
      <alignment/>
    </xf>
    <xf numFmtId="164" fontId="1" fillId="3" borderId="49" xfId="0" applyNumberFormat="1" applyFont="1" applyFill="1" applyBorder="1" applyAlignment="1">
      <alignment/>
    </xf>
    <xf numFmtId="164" fontId="1" fillId="3" borderId="50" xfId="0" applyNumberFormat="1" applyFont="1" applyFill="1" applyBorder="1" applyAlignment="1">
      <alignment/>
    </xf>
    <xf numFmtId="164" fontId="1" fillId="3" borderId="51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1" fillId="0" borderId="35" xfId="0" applyFont="1" applyBorder="1" applyAlignment="1">
      <alignment/>
    </xf>
    <xf numFmtId="0" fontId="0" fillId="0" borderId="9" xfId="0" applyBorder="1" applyAlignment="1">
      <alignment/>
    </xf>
    <xf numFmtId="0" fontId="0" fillId="0" borderId="31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/>
    </xf>
    <xf numFmtId="164" fontId="0" fillId="3" borderId="3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52" xfId="0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right" vertical="center"/>
    </xf>
    <xf numFmtId="164" fontId="1" fillId="0" borderId="3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7" fillId="0" borderId="35" xfId="0" applyNumberFormat="1" applyFont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 vertical="center"/>
    </xf>
    <xf numFmtId="16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1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20" xfId="0" applyNumberFormat="1" applyFont="1" applyBorder="1" applyAlignment="1">
      <alignment horizontal="right" vertical="center"/>
    </xf>
    <xf numFmtId="164" fontId="8" fillId="0" borderId="35" xfId="0" applyNumberFormat="1" applyFont="1" applyBorder="1" applyAlignment="1">
      <alignment horizontal="right" vertical="center"/>
    </xf>
    <xf numFmtId="164" fontId="3" fillId="0" borderId="35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right" vertical="center"/>
    </xf>
    <xf numFmtId="49" fontId="1" fillId="0" borderId="8" xfId="0" applyNumberFormat="1" applyFont="1" applyBorder="1" applyAlignment="1">
      <alignment horizontal="left"/>
    </xf>
    <xf numFmtId="164" fontId="1" fillId="3" borderId="2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left" wrapText="1"/>
    </xf>
    <xf numFmtId="164" fontId="1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81" fontId="0" fillId="0" borderId="0" xfId="17" applyNumberFormat="1" applyFont="1" applyBorder="1" applyAlignment="1">
      <alignment horizontal="center"/>
    </xf>
    <xf numFmtId="181" fontId="0" fillId="0" borderId="0" xfId="17" applyNumberFormat="1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Border="1" applyAlignment="1">
      <alignment/>
    </xf>
    <xf numFmtId="0" fontId="2" fillId="0" borderId="35" xfId="0" applyFont="1" applyBorder="1" applyAlignment="1">
      <alignment/>
    </xf>
    <xf numFmtId="1" fontId="2" fillId="0" borderId="31" xfId="0" applyNumberFormat="1" applyFont="1" applyBorder="1" applyAlignment="1">
      <alignment/>
    </xf>
    <xf numFmtId="0" fontId="0" fillId="0" borderId="0" xfId="0" applyAlignment="1">
      <alignment/>
    </xf>
    <xf numFmtId="0" fontId="5" fillId="0" borderId="3" xfId="19" applyFont="1" applyBorder="1">
      <alignment/>
      <protection/>
    </xf>
    <xf numFmtId="3" fontId="5" fillId="0" borderId="3" xfId="17" applyNumberFormat="1" applyFont="1" applyBorder="1" applyAlignment="1">
      <alignment/>
    </xf>
    <xf numFmtId="179" fontId="5" fillId="3" borderId="3" xfId="17" applyNumberFormat="1" applyFont="1" applyFill="1" applyBorder="1" applyAlignment="1">
      <alignment/>
    </xf>
    <xf numFmtId="41" fontId="5" fillId="0" borderId="3" xfId="17" applyFont="1" applyBorder="1" applyAlignment="1">
      <alignment/>
    </xf>
    <xf numFmtId="180" fontId="0" fillId="3" borderId="3" xfId="18" applyNumberFormat="1" applyFont="1" applyFill="1" applyBorder="1">
      <alignment/>
      <protection/>
    </xf>
    <xf numFmtId="41" fontId="5" fillId="0" borderId="1" xfId="17" applyFont="1" applyBorder="1" applyAlignment="1">
      <alignment/>
    </xf>
    <xf numFmtId="0" fontId="4" fillId="0" borderId="3" xfId="19" applyFont="1" applyBorder="1">
      <alignment/>
      <protection/>
    </xf>
    <xf numFmtId="3" fontId="4" fillId="3" borderId="3" xfId="17" applyNumberFormat="1" applyFont="1" applyFill="1" applyBorder="1" applyAlignment="1">
      <alignment/>
    </xf>
    <xf numFmtId="179" fontId="5" fillId="3" borderId="35" xfId="17" applyNumberFormat="1" applyFont="1" applyFill="1" applyBorder="1" applyAlignment="1">
      <alignment/>
    </xf>
    <xf numFmtId="41" fontId="4" fillId="3" borderId="3" xfId="17" applyFont="1" applyFill="1" applyBorder="1" applyAlignment="1">
      <alignment/>
    </xf>
    <xf numFmtId="180" fontId="1" fillId="3" borderId="10" xfId="18" applyNumberFormat="1" applyFont="1" applyFill="1" applyBorder="1">
      <alignment/>
      <protection/>
    </xf>
    <xf numFmtId="0" fontId="3" fillId="0" borderId="3" xfId="19" applyFont="1" applyBorder="1">
      <alignment/>
      <protection/>
    </xf>
    <xf numFmtId="3" fontId="4" fillId="3" borderId="3" xfId="0" applyNumberFormat="1" applyFont="1" applyFill="1" applyBorder="1" applyAlignment="1">
      <alignment/>
    </xf>
    <xf numFmtId="0" fontId="4" fillId="0" borderId="0" xfId="19" applyFont="1" applyBorder="1" applyAlignment="1">
      <alignment horizontal="center"/>
      <protection/>
    </xf>
    <xf numFmtId="0" fontId="4" fillId="0" borderId="13" xfId="19" applyFont="1" applyBorder="1" applyAlignment="1">
      <alignment horizontal="center"/>
      <protection/>
    </xf>
    <xf numFmtId="0" fontId="4" fillId="0" borderId="18" xfId="19" applyFont="1" applyBorder="1" applyAlignment="1">
      <alignment horizontal="center"/>
      <protection/>
    </xf>
    <xf numFmtId="0" fontId="4" fillId="0" borderId="22" xfId="19" applyFont="1" applyBorder="1" applyAlignment="1">
      <alignment horizontal="center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179" fontId="5" fillId="0" borderId="0" xfId="17" applyNumberFormat="1" applyFont="1" applyFill="1" applyAlignment="1">
      <alignment/>
    </xf>
    <xf numFmtId="180" fontId="4" fillId="3" borderId="12" xfId="0" applyNumberFormat="1" applyFont="1" applyFill="1" applyBorder="1" applyAlignment="1">
      <alignment/>
    </xf>
    <xf numFmtId="180" fontId="4" fillId="3" borderId="3" xfId="0" applyNumberFormat="1" applyFont="1" applyFill="1" applyBorder="1" applyAlignment="1">
      <alignment/>
    </xf>
    <xf numFmtId="180" fontId="4" fillId="3" borderId="23" xfId="0" applyNumberFormat="1" applyFont="1" applyFill="1" applyBorder="1" applyAlignment="1">
      <alignment/>
    </xf>
    <xf numFmtId="0" fontId="2" fillId="0" borderId="3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10">
    <cellStyle name="Normal" xfId="0"/>
    <cellStyle name="Euro" xfId="15"/>
    <cellStyle name="Comma" xfId="16"/>
    <cellStyle name="Comma [0]" xfId="17"/>
    <cellStyle name="Normale_6-10" xfId="18"/>
    <cellStyle name="Normale_tav_6_10" xfId="19"/>
    <cellStyle name="Normale_tav4.35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3238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733800" y="323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314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800475" y="3143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857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095625" y="485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48577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48577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48577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48577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314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600450" y="3143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F27" sqref="F27"/>
    </sheetView>
  </sheetViews>
  <sheetFormatPr defaultColWidth="9.140625" defaultRowHeight="12.75"/>
  <cols>
    <col min="1" max="1" width="17.00390625" style="0" customWidth="1"/>
    <col min="2" max="2" width="6.7109375" style="0" bestFit="1" customWidth="1"/>
    <col min="3" max="3" width="10.140625" style="0" bestFit="1" customWidth="1"/>
  </cols>
  <sheetData>
    <row r="1" ht="12.75">
      <c r="A1" s="4" t="s">
        <v>96</v>
      </c>
    </row>
    <row r="3" spans="1:3" ht="12.75">
      <c r="A3" s="35"/>
      <c r="B3" s="36" t="s">
        <v>3</v>
      </c>
      <c r="C3" s="36" t="s">
        <v>97</v>
      </c>
    </row>
    <row r="4" spans="1:3" ht="12.75">
      <c r="A4" s="35" t="s">
        <v>106</v>
      </c>
      <c r="B4" s="35">
        <v>1996</v>
      </c>
      <c r="C4" s="35">
        <v>22</v>
      </c>
    </row>
    <row r="5" spans="1:3" ht="12.75">
      <c r="A5" s="35" t="s">
        <v>98</v>
      </c>
      <c r="B5" s="35">
        <v>1995</v>
      </c>
      <c r="C5" s="35">
        <v>25</v>
      </c>
    </row>
    <row r="6" spans="1:3" ht="12.75">
      <c r="A6" s="35" t="s">
        <v>99</v>
      </c>
      <c r="B6" s="35">
        <v>1995</v>
      </c>
      <c r="C6" s="35">
        <v>25</v>
      </c>
    </row>
    <row r="7" spans="1:3" ht="12.75">
      <c r="A7" s="35" t="s">
        <v>100</v>
      </c>
      <c r="B7" s="35">
        <v>1995</v>
      </c>
      <c r="C7" s="35">
        <v>25</v>
      </c>
    </row>
    <row r="8" spans="1:3" ht="12.75">
      <c r="A8" s="35" t="s">
        <v>105</v>
      </c>
      <c r="B8" s="35">
        <v>1996</v>
      </c>
      <c r="C8" s="35">
        <v>25</v>
      </c>
    </row>
    <row r="9" spans="1:3" ht="12.75">
      <c r="A9" s="35" t="s">
        <v>101</v>
      </c>
      <c r="B9" s="35">
        <v>1995</v>
      </c>
      <c r="C9" s="35">
        <v>28</v>
      </c>
    </row>
    <row r="10" spans="1:3" ht="12.75">
      <c r="A10" s="35" t="s">
        <v>104</v>
      </c>
      <c r="B10" s="35">
        <v>1996</v>
      </c>
      <c r="C10" s="35">
        <v>28</v>
      </c>
    </row>
    <row r="11" spans="1:3" ht="12.75">
      <c r="A11" s="35" t="s">
        <v>102</v>
      </c>
      <c r="B11" s="35">
        <v>1995</v>
      </c>
      <c r="C11" s="35">
        <v>30</v>
      </c>
    </row>
    <row r="12" spans="1:3" ht="12.75">
      <c r="A12" s="35" t="s">
        <v>103</v>
      </c>
      <c r="B12" s="35">
        <v>1996</v>
      </c>
      <c r="C12" s="35">
        <v>30</v>
      </c>
    </row>
    <row r="13" spans="1:3" ht="12.75">
      <c r="A13" s="35" t="s">
        <v>114</v>
      </c>
      <c r="B13" s="35">
        <v>1998</v>
      </c>
      <c r="C13" s="35">
        <v>25</v>
      </c>
    </row>
    <row r="14" spans="1:3" ht="12.75">
      <c r="A14" s="35" t="s">
        <v>110</v>
      </c>
      <c r="B14" s="35">
        <v>1997</v>
      </c>
      <c r="C14" s="35">
        <v>26</v>
      </c>
    </row>
    <row r="15" spans="1:3" ht="12.75">
      <c r="A15" s="35" t="s">
        <v>107</v>
      </c>
      <c r="B15" s="35">
        <v>1997</v>
      </c>
      <c r="C15" s="35">
        <v>28</v>
      </c>
    </row>
    <row r="16" spans="1:3" ht="12.75">
      <c r="A16" s="35" t="s">
        <v>109</v>
      </c>
      <c r="B16" s="35">
        <v>1997</v>
      </c>
      <c r="C16" s="35">
        <v>28</v>
      </c>
    </row>
    <row r="17" spans="1:3" ht="12.75">
      <c r="A17" s="35" t="s">
        <v>111</v>
      </c>
      <c r="B17" s="35">
        <v>1997</v>
      </c>
      <c r="C17" s="35">
        <v>28</v>
      </c>
    </row>
    <row r="18" spans="1:3" ht="12.75">
      <c r="A18" s="35" t="s">
        <v>115</v>
      </c>
      <c r="B18" s="35">
        <v>1998</v>
      </c>
      <c r="C18" s="35">
        <v>28</v>
      </c>
    </row>
    <row r="19" spans="1:3" ht="12.75">
      <c r="A19" s="35" t="s">
        <v>108</v>
      </c>
      <c r="B19" s="35">
        <v>1997</v>
      </c>
      <c r="C19" s="35">
        <v>30</v>
      </c>
    </row>
    <row r="20" spans="1:3" ht="12.75">
      <c r="A20" s="35" t="s">
        <v>112</v>
      </c>
      <c r="B20" s="35">
        <v>1998</v>
      </c>
      <c r="C20" s="35">
        <v>30</v>
      </c>
    </row>
    <row r="21" spans="1:3" ht="12.75">
      <c r="A21" s="35" t="s">
        <v>113</v>
      </c>
      <c r="B21" s="35">
        <v>1998</v>
      </c>
      <c r="C21" s="35">
        <v>30</v>
      </c>
    </row>
    <row r="22" spans="1:3" ht="12.75">
      <c r="A22" s="35" t="s">
        <v>118</v>
      </c>
      <c r="B22" s="35">
        <v>1999</v>
      </c>
      <c r="C22" s="35">
        <v>22</v>
      </c>
    </row>
    <row r="23" spans="1:3" ht="12.75">
      <c r="A23" s="35" t="s">
        <v>119</v>
      </c>
      <c r="B23" s="35">
        <v>1999</v>
      </c>
      <c r="C23" s="35">
        <v>26</v>
      </c>
    </row>
    <row r="24" spans="1:3" ht="12.75">
      <c r="A24" s="35" t="s">
        <v>116</v>
      </c>
      <c r="B24" s="35">
        <v>1998</v>
      </c>
      <c r="C24" s="35">
        <v>28</v>
      </c>
    </row>
    <row r="25" spans="1:3" ht="12.75">
      <c r="A25" s="35" t="s">
        <v>120</v>
      </c>
      <c r="B25" s="35">
        <v>1999</v>
      </c>
      <c r="C25" s="35">
        <v>28</v>
      </c>
    </row>
    <row r="26" spans="1:3" ht="12.75">
      <c r="A26" s="35" t="s">
        <v>117</v>
      </c>
      <c r="B26" s="35">
        <v>1998</v>
      </c>
      <c r="C26" s="35">
        <v>30</v>
      </c>
    </row>
    <row r="27" spans="1:3" ht="12.75">
      <c r="A27" s="35" t="s">
        <v>122</v>
      </c>
      <c r="B27" s="35">
        <v>1999</v>
      </c>
      <c r="C27" s="35">
        <v>30</v>
      </c>
    </row>
    <row r="28" spans="1:3" ht="12.75">
      <c r="A28" s="35" t="s">
        <v>123</v>
      </c>
      <c r="B28" s="35">
        <v>1999</v>
      </c>
      <c r="C28" s="35">
        <v>30</v>
      </c>
    </row>
    <row r="29" spans="1:3" ht="12.75">
      <c r="A29" s="35" t="s">
        <v>124</v>
      </c>
      <c r="B29" s="35">
        <v>2000</v>
      </c>
      <c r="C29" s="35">
        <v>25</v>
      </c>
    </row>
    <row r="30" spans="1:3" ht="12.75">
      <c r="A30" s="35" t="s">
        <v>121</v>
      </c>
      <c r="B30" s="35">
        <v>1999</v>
      </c>
      <c r="C30" s="35">
        <v>28</v>
      </c>
    </row>
    <row r="31" spans="1:3" ht="12.75">
      <c r="A31" s="35" t="s">
        <v>125</v>
      </c>
      <c r="B31" s="35">
        <v>2000</v>
      </c>
      <c r="C31" s="35">
        <v>28</v>
      </c>
    </row>
    <row r="32" spans="1:3" ht="12.75">
      <c r="A32" s="35" t="s">
        <v>126</v>
      </c>
      <c r="B32" s="35">
        <v>2000</v>
      </c>
      <c r="C32" s="35">
        <v>30</v>
      </c>
    </row>
    <row r="33" spans="1:3" ht="12.75">
      <c r="A33" s="35" t="s">
        <v>127</v>
      </c>
      <c r="B33" s="35">
        <v>2000</v>
      </c>
      <c r="C33" s="35">
        <v>30</v>
      </c>
    </row>
    <row r="34" spans="2:3" ht="12.75">
      <c r="B34" s="5" t="s">
        <v>82</v>
      </c>
      <c r="C34" s="37">
        <f>MAX(C4:C33)</f>
        <v>30</v>
      </c>
    </row>
    <row r="35" spans="2:3" ht="12.75">
      <c r="B35" s="310" t="s">
        <v>83</v>
      </c>
      <c r="C35" s="38">
        <f>MIN(C4:C33)</f>
        <v>22</v>
      </c>
    </row>
    <row r="36" spans="2:3" ht="12.75">
      <c r="B36" s="310" t="s">
        <v>84</v>
      </c>
      <c r="C36" s="39">
        <f>AVERAGE(C4:C33)</f>
        <v>27.533333333333335</v>
      </c>
    </row>
    <row r="38" spans="1:3" ht="12.75">
      <c r="A38" s="4" t="s">
        <v>128</v>
      </c>
      <c r="C38" s="40">
        <f>COUNTA(C4:C33)</f>
        <v>30</v>
      </c>
    </row>
    <row r="39" spans="1:3" ht="12.75">
      <c r="A39" s="35" t="s">
        <v>129</v>
      </c>
      <c r="B39" s="35"/>
      <c r="C39" s="41">
        <f>COUNTIF(C4:C33,30)</f>
        <v>10</v>
      </c>
    </row>
    <row r="40" spans="1:3" ht="12.75">
      <c r="A40" s="35" t="s">
        <v>130</v>
      </c>
      <c r="B40" s="35"/>
      <c r="C40" s="41">
        <f>COUNTIF(C4:C33,28)</f>
        <v>10</v>
      </c>
    </row>
    <row r="41" spans="1:3" ht="12.75">
      <c r="A41" s="35" t="s">
        <v>131</v>
      </c>
      <c r="B41" s="35"/>
      <c r="C41" s="41">
        <f>COUNTIF(C4:C33,26)</f>
        <v>2</v>
      </c>
    </row>
    <row r="42" spans="1:3" ht="12.75">
      <c r="A42" s="35" t="s">
        <v>132</v>
      </c>
      <c r="B42" s="35"/>
      <c r="C42" s="41">
        <f>COUNTIF(C4:C33,25)</f>
        <v>6</v>
      </c>
    </row>
    <row r="43" spans="1:3" ht="12.75">
      <c r="A43" s="35" t="s">
        <v>133</v>
      </c>
      <c r="B43" s="35"/>
      <c r="C43" s="41">
        <f>COUNTIF(C4:C33,22)</f>
        <v>2</v>
      </c>
    </row>
    <row r="44" spans="1:3" ht="12.75">
      <c r="A44" s="42" t="s">
        <v>134</v>
      </c>
      <c r="B44" s="45"/>
      <c r="C44" s="38">
        <f>SUM(C39:C43)</f>
        <v>30</v>
      </c>
    </row>
    <row r="45" spans="1:3" s="13" customFormat="1" ht="12.75">
      <c r="A45" s="3"/>
      <c r="C45" s="48"/>
    </row>
    <row r="46" spans="3:5" s="13" customFormat="1" ht="12.75">
      <c r="C46" s="36" t="s">
        <v>141</v>
      </c>
      <c r="D46" s="36" t="s">
        <v>142</v>
      </c>
      <c r="E46" s="36" t="s">
        <v>143</v>
      </c>
    </row>
    <row r="47" spans="1:5" ht="12.75">
      <c r="A47" s="46" t="s">
        <v>135</v>
      </c>
      <c r="B47" s="46"/>
      <c r="C47" s="47">
        <f>AVERAGE(C5:C7,C9,C11)</f>
        <v>26.6</v>
      </c>
      <c r="D47" s="47">
        <f>MIN(C5:C7,C9,C11)</f>
        <v>25</v>
      </c>
      <c r="E47" s="47">
        <f>MAX(C5:C7,C9,C11)</f>
        <v>30</v>
      </c>
    </row>
    <row r="48" spans="1:5" ht="12.75">
      <c r="A48" s="35" t="s">
        <v>136</v>
      </c>
      <c r="B48" s="35"/>
      <c r="C48" s="43">
        <f>AVERAGE(C4,C8,C10,C12)</f>
        <v>26.25</v>
      </c>
      <c r="D48" s="43">
        <f>MIN(C4,C8,C10,C12)</f>
        <v>22</v>
      </c>
      <c r="E48" s="43">
        <f>MAX(C4,C8,C10,C12)</f>
        <v>30</v>
      </c>
    </row>
    <row r="49" spans="1:5" ht="12.75">
      <c r="A49" s="35" t="s">
        <v>137</v>
      </c>
      <c r="B49" s="35"/>
      <c r="C49" s="43">
        <f>AVERAGE(C14:C17,C19)</f>
        <v>28</v>
      </c>
      <c r="D49" s="43">
        <f>MIN(C14:C17,C19)</f>
        <v>26</v>
      </c>
      <c r="E49" s="43">
        <f>MAX(C14:C17,C19)</f>
        <v>30</v>
      </c>
    </row>
    <row r="50" spans="1:5" ht="12.75">
      <c r="A50" s="35" t="s">
        <v>138</v>
      </c>
      <c r="B50" s="35"/>
      <c r="C50" s="43">
        <f>AVERAGE(C13,C18,C20:C21,C24,C26)</f>
        <v>28.5</v>
      </c>
      <c r="D50" s="43">
        <f>MIN(C13,C18,C20:C21,C24,C26)</f>
        <v>25</v>
      </c>
      <c r="E50" s="43">
        <f>MAX(C13,C18,C20:C21,C24,C26)</f>
        <v>30</v>
      </c>
    </row>
    <row r="51" spans="1:5" ht="12.75">
      <c r="A51" s="35" t="s">
        <v>139</v>
      </c>
      <c r="B51" s="35"/>
      <c r="C51" s="43">
        <f>AVERAGE(C22:C23,C25,C27:C28,C30)</f>
        <v>27.333333333333332</v>
      </c>
      <c r="D51" s="43">
        <f>MIN(C22:C23,C25,C27:C28,C30)</f>
        <v>22</v>
      </c>
      <c r="E51" s="43">
        <f>MAX(C22:C23,C25,C27:C28,C30)</f>
        <v>30</v>
      </c>
    </row>
    <row r="52" spans="1:5" ht="12.75">
      <c r="A52" s="35" t="s">
        <v>140</v>
      </c>
      <c r="B52" s="35"/>
      <c r="C52" s="43">
        <f>AVERAGE(C29,C31:C33)</f>
        <v>28.25</v>
      </c>
      <c r="D52" s="43">
        <f>MIN(C29,C31:C33)</f>
        <v>25</v>
      </c>
      <c r="E52" s="43">
        <f>MAX(C29,C31:C33)</f>
        <v>30</v>
      </c>
    </row>
    <row r="53" ht="12.75">
      <c r="C53" s="44"/>
    </row>
  </sheetData>
  <printOptions gridLines="1" headings="1" horizontalCentered="1" verticalCentered="1"/>
  <pageMargins left="0.7874015748031497" right="0.1968503937007874" top="0.5905511811023623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2" sqref="A2"/>
    </sheetView>
  </sheetViews>
  <sheetFormatPr defaultColWidth="9.140625" defaultRowHeight="12.75"/>
  <cols>
    <col min="1" max="1" width="32.8515625" style="17" bestFit="1" customWidth="1"/>
    <col min="2" max="2" width="13.7109375" style="17" bestFit="1" customWidth="1"/>
    <col min="3" max="3" width="13.28125" style="17" bestFit="1" customWidth="1"/>
    <col min="4" max="4" width="11.421875" style="17" bestFit="1" customWidth="1"/>
    <col min="5" max="5" width="8.140625" style="17" bestFit="1" customWidth="1"/>
    <col min="6" max="6" width="7.7109375" style="17" bestFit="1" customWidth="1"/>
    <col min="7" max="7" width="3.421875" style="13" customWidth="1"/>
  </cols>
  <sheetData>
    <row r="1" spans="1:7" s="4" customFormat="1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/>
    </row>
    <row r="2" spans="1:7" s="4" customFormat="1" ht="12.75">
      <c r="A2" s="5"/>
      <c r="B2" s="5"/>
      <c r="C2" s="5"/>
      <c r="D2" s="6" t="s">
        <v>6</v>
      </c>
      <c r="E2" s="6" t="s">
        <v>7</v>
      </c>
      <c r="F2" s="6" t="s">
        <v>8</v>
      </c>
      <c r="G2" s="3"/>
    </row>
    <row r="3" spans="1:8" ht="12.75">
      <c r="A3" s="7" t="s">
        <v>9</v>
      </c>
      <c r="B3" s="8" t="s">
        <v>10</v>
      </c>
      <c r="C3" s="9" t="s">
        <v>11</v>
      </c>
      <c r="D3" s="10">
        <v>1998</v>
      </c>
      <c r="E3" s="11">
        <v>88</v>
      </c>
      <c r="F3" s="10">
        <v>452</v>
      </c>
      <c r="G3" s="12"/>
      <c r="H3" s="13"/>
    </row>
    <row r="4" spans="1:6" ht="12.75">
      <c r="A4" s="7" t="s">
        <v>12</v>
      </c>
      <c r="B4" s="8" t="s">
        <v>13</v>
      </c>
      <c r="C4" s="14" t="s">
        <v>14</v>
      </c>
      <c r="D4" s="15">
        <v>1974</v>
      </c>
      <c r="E4" s="16">
        <v>110</v>
      </c>
      <c r="F4" s="15">
        <v>442</v>
      </c>
    </row>
    <row r="5" spans="1:6" ht="12.75">
      <c r="A5" s="7" t="s">
        <v>15</v>
      </c>
      <c r="B5" s="8" t="s">
        <v>16</v>
      </c>
      <c r="C5" s="14" t="s">
        <v>17</v>
      </c>
      <c r="D5" s="15">
        <v>1999</v>
      </c>
      <c r="E5" s="16">
        <v>88</v>
      </c>
      <c r="F5" s="15">
        <v>421</v>
      </c>
    </row>
    <row r="6" spans="1:6" ht="12.75">
      <c r="A6" s="7" t="s">
        <v>18</v>
      </c>
      <c r="B6" s="8" t="s">
        <v>19</v>
      </c>
      <c r="C6" s="14" t="s">
        <v>17</v>
      </c>
      <c r="D6" s="15">
        <v>1996</v>
      </c>
      <c r="E6" s="16">
        <v>80</v>
      </c>
      <c r="F6" s="15">
        <v>391</v>
      </c>
    </row>
    <row r="7" spans="1:6" ht="12.75">
      <c r="A7" s="7" t="s">
        <v>20</v>
      </c>
      <c r="B7" s="8" t="s">
        <v>21</v>
      </c>
      <c r="C7" s="14" t="s">
        <v>17</v>
      </c>
      <c r="D7" s="15">
        <v>1996</v>
      </c>
      <c r="E7" s="16">
        <v>69</v>
      </c>
      <c r="F7" s="15">
        <v>384</v>
      </c>
    </row>
    <row r="8" spans="1:6" ht="12.75">
      <c r="A8" s="7" t="s">
        <v>22</v>
      </c>
      <c r="B8" s="8" t="s">
        <v>23</v>
      </c>
      <c r="C8" s="14" t="s">
        <v>14</v>
      </c>
      <c r="D8" s="15">
        <v>1931</v>
      </c>
      <c r="E8" s="16">
        <v>102</v>
      </c>
      <c r="F8" s="15">
        <v>381</v>
      </c>
    </row>
    <row r="9" spans="1:6" ht="12.75">
      <c r="A9" s="7" t="s">
        <v>24</v>
      </c>
      <c r="B9" s="8" t="s">
        <v>25</v>
      </c>
      <c r="C9" s="14" t="s">
        <v>26</v>
      </c>
      <c r="D9" s="15">
        <v>1992</v>
      </c>
      <c r="E9" s="16">
        <v>78</v>
      </c>
      <c r="F9" s="15">
        <v>374</v>
      </c>
    </row>
    <row r="10" spans="1:6" ht="12.75">
      <c r="A10" s="7" t="s">
        <v>27</v>
      </c>
      <c r="B10" s="8" t="s">
        <v>25</v>
      </c>
      <c r="C10" s="14" t="s">
        <v>26</v>
      </c>
      <c r="D10" s="15">
        <v>1989</v>
      </c>
      <c r="E10" s="16">
        <v>70</v>
      </c>
      <c r="F10" s="15">
        <v>369</v>
      </c>
    </row>
    <row r="11" spans="1:6" ht="12.75">
      <c r="A11" s="7" t="s">
        <v>28</v>
      </c>
      <c r="B11" s="8" t="s">
        <v>29</v>
      </c>
      <c r="C11" s="17" t="s">
        <v>29</v>
      </c>
      <c r="D11" s="15">
        <v>1999</v>
      </c>
      <c r="E11" s="16">
        <v>55</v>
      </c>
      <c r="F11" s="15">
        <v>355</v>
      </c>
    </row>
    <row r="12" spans="1:6" ht="12.75">
      <c r="A12" s="7" t="s">
        <v>30</v>
      </c>
      <c r="B12" s="8" t="s">
        <v>25</v>
      </c>
      <c r="C12" s="14" t="s">
        <v>26</v>
      </c>
      <c r="D12" s="15">
        <v>1998</v>
      </c>
      <c r="E12" s="16">
        <v>79</v>
      </c>
      <c r="F12" s="15">
        <v>350</v>
      </c>
    </row>
    <row r="13" spans="1:6" ht="12.75">
      <c r="A13" s="7" t="s">
        <v>31</v>
      </c>
      <c r="B13" s="8" t="s">
        <v>32</v>
      </c>
      <c r="C13" s="14" t="s">
        <v>33</v>
      </c>
      <c r="D13" s="15">
        <v>1997</v>
      </c>
      <c r="E13" s="16">
        <v>85</v>
      </c>
      <c r="F13" s="15">
        <v>348</v>
      </c>
    </row>
    <row r="14" spans="1:6" ht="12.75">
      <c r="A14" s="7" t="s">
        <v>34</v>
      </c>
      <c r="B14" s="8" t="s">
        <v>13</v>
      </c>
      <c r="C14" s="14" t="s">
        <v>14</v>
      </c>
      <c r="D14" s="15">
        <v>1973</v>
      </c>
      <c r="E14" s="16">
        <v>80</v>
      </c>
      <c r="F14" s="15">
        <v>346</v>
      </c>
    </row>
    <row r="15" spans="1:6" ht="12.75">
      <c r="A15" s="7" t="s">
        <v>35</v>
      </c>
      <c r="B15" s="8" t="s">
        <v>13</v>
      </c>
      <c r="C15" s="14" t="s">
        <v>14</v>
      </c>
      <c r="D15" s="15">
        <v>1969</v>
      </c>
      <c r="E15" s="16">
        <v>100</v>
      </c>
      <c r="F15" s="15">
        <v>344</v>
      </c>
    </row>
    <row r="16" spans="1:6" ht="12.75">
      <c r="A16" s="7" t="s">
        <v>36</v>
      </c>
      <c r="B16" s="8" t="s">
        <v>29</v>
      </c>
      <c r="C16" s="17" t="s">
        <v>37</v>
      </c>
      <c r="D16" s="15">
        <v>1999</v>
      </c>
      <c r="E16" s="16">
        <v>60</v>
      </c>
      <c r="F16" s="15">
        <v>321</v>
      </c>
    </row>
    <row r="17" spans="1:6" ht="12.75">
      <c r="A17" s="7" t="s">
        <v>38</v>
      </c>
      <c r="B17" s="8" t="s">
        <v>23</v>
      </c>
      <c r="C17" s="14" t="s">
        <v>14</v>
      </c>
      <c r="D17" s="15">
        <v>1930</v>
      </c>
      <c r="E17" s="16">
        <v>77</v>
      </c>
      <c r="F17" s="15">
        <v>319</v>
      </c>
    </row>
    <row r="18" spans="1:6" ht="12.75">
      <c r="A18" s="7" t="s">
        <v>39</v>
      </c>
      <c r="B18" s="8" t="s">
        <v>40</v>
      </c>
      <c r="C18" s="14" t="s">
        <v>14</v>
      </c>
      <c r="D18" s="15">
        <v>1993</v>
      </c>
      <c r="E18" s="16">
        <v>55</v>
      </c>
      <c r="F18" s="15">
        <v>312</v>
      </c>
    </row>
    <row r="19" spans="1:6" ht="12.75">
      <c r="A19" s="7" t="s">
        <v>41</v>
      </c>
      <c r="B19" s="8" t="s">
        <v>42</v>
      </c>
      <c r="C19" s="14" t="s">
        <v>14</v>
      </c>
      <c r="D19" s="15">
        <v>1990</v>
      </c>
      <c r="E19" s="16">
        <v>75</v>
      </c>
      <c r="F19" s="15">
        <v>310</v>
      </c>
    </row>
    <row r="20" spans="1:6" ht="12.75">
      <c r="A20" s="7" t="s">
        <v>43</v>
      </c>
      <c r="B20" s="8" t="s">
        <v>10</v>
      </c>
      <c r="C20" s="14" t="s">
        <v>11</v>
      </c>
      <c r="D20" s="15">
        <v>1999</v>
      </c>
      <c r="E20" s="16">
        <v>55</v>
      </c>
      <c r="F20" s="15">
        <v>310</v>
      </c>
    </row>
    <row r="21" spans="1:6" ht="12.75">
      <c r="A21" s="7" t="s">
        <v>44</v>
      </c>
      <c r="B21" s="8" t="s">
        <v>37</v>
      </c>
      <c r="C21" s="17" t="s">
        <v>37</v>
      </c>
      <c r="D21" s="15">
        <v>2000</v>
      </c>
      <c r="E21" s="16">
        <v>56</v>
      </c>
      <c r="F21" s="15">
        <v>309</v>
      </c>
    </row>
    <row r="22" spans="1:6" ht="12.75">
      <c r="A22" s="7" t="s">
        <v>45</v>
      </c>
      <c r="B22" s="8" t="s">
        <v>13</v>
      </c>
      <c r="C22" s="14" t="s">
        <v>14</v>
      </c>
      <c r="D22" s="15">
        <v>1989</v>
      </c>
      <c r="E22" s="16">
        <v>60</v>
      </c>
      <c r="F22" s="15">
        <v>307</v>
      </c>
    </row>
    <row r="23" spans="1:6" ht="12.75">
      <c r="A23" s="7" t="s">
        <v>46</v>
      </c>
      <c r="B23" s="8" t="s">
        <v>47</v>
      </c>
      <c r="C23" s="14" t="s">
        <v>14</v>
      </c>
      <c r="D23" s="15">
        <v>1982</v>
      </c>
      <c r="E23" s="16">
        <v>75</v>
      </c>
      <c r="F23" s="15">
        <v>305</v>
      </c>
    </row>
    <row r="24" spans="1:6" ht="12.75">
      <c r="A24" s="7" t="s">
        <v>48</v>
      </c>
      <c r="B24" s="8" t="s">
        <v>49</v>
      </c>
      <c r="C24" s="14" t="s">
        <v>50</v>
      </c>
      <c r="D24" s="15">
        <v>1997</v>
      </c>
      <c r="E24" s="16">
        <v>85</v>
      </c>
      <c r="F24" s="15">
        <v>304</v>
      </c>
    </row>
    <row r="25" spans="1:6" ht="12.75">
      <c r="A25" s="7" t="s">
        <v>51</v>
      </c>
      <c r="B25" s="8" t="s">
        <v>13</v>
      </c>
      <c r="C25" s="14" t="s">
        <v>14</v>
      </c>
      <c r="D25" s="15">
        <v>1990</v>
      </c>
      <c r="E25" s="16">
        <v>64</v>
      </c>
      <c r="F25" s="15">
        <v>303</v>
      </c>
    </row>
    <row r="26" spans="1:6" ht="12.75">
      <c r="A26" s="7" t="s">
        <v>52</v>
      </c>
      <c r="B26" s="8" t="s">
        <v>53</v>
      </c>
      <c r="C26" s="14" t="s">
        <v>26</v>
      </c>
      <c r="D26" s="15">
        <v>1995</v>
      </c>
      <c r="E26" s="16">
        <v>105</v>
      </c>
      <c r="F26" s="15">
        <v>300</v>
      </c>
    </row>
    <row r="27" spans="1:6" ht="12.75">
      <c r="A27" s="7" t="s">
        <v>54</v>
      </c>
      <c r="B27" s="8" t="s">
        <v>55</v>
      </c>
      <c r="C27" s="14" t="s">
        <v>56</v>
      </c>
      <c r="D27" s="15">
        <v>1997</v>
      </c>
      <c r="E27" s="16">
        <v>63</v>
      </c>
      <c r="F27" s="15">
        <v>299</v>
      </c>
    </row>
    <row r="28" spans="1:6" ht="12.75">
      <c r="A28" s="7" t="s">
        <v>57</v>
      </c>
      <c r="B28" s="8" t="s">
        <v>58</v>
      </c>
      <c r="C28" s="14" t="s">
        <v>59</v>
      </c>
      <c r="D28" s="15">
        <v>1975</v>
      </c>
      <c r="E28" s="16">
        <v>72</v>
      </c>
      <c r="F28" s="15">
        <v>298</v>
      </c>
    </row>
    <row r="29" spans="1:6" ht="12.75">
      <c r="A29" s="7" t="s">
        <v>60</v>
      </c>
      <c r="B29" s="8" t="s">
        <v>61</v>
      </c>
      <c r="C29" s="14" t="s">
        <v>62</v>
      </c>
      <c r="D29" s="15">
        <v>2001</v>
      </c>
      <c r="E29" s="16">
        <v>72</v>
      </c>
      <c r="F29" s="15">
        <v>296</v>
      </c>
    </row>
    <row r="30" spans="1:6" ht="12.75">
      <c r="A30" s="7" t="s">
        <v>63</v>
      </c>
      <c r="B30" s="8" t="s">
        <v>47</v>
      </c>
      <c r="C30" s="14" t="s">
        <v>14</v>
      </c>
      <c r="D30" s="15">
        <v>1983</v>
      </c>
      <c r="E30" s="16">
        <v>71</v>
      </c>
      <c r="F30" s="15">
        <v>296</v>
      </c>
    </row>
    <row r="31" spans="1:6" ht="12.75">
      <c r="A31" s="7" t="s">
        <v>64</v>
      </c>
      <c r="B31" s="8" t="s">
        <v>65</v>
      </c>
      <c r="C31" s="14" t="s">
        <v>66</v>
      </c>
      <c r="D31" s="15">
        <v>1993</v>
      </c>
      <c r="E31" s="16">
        <v>70</v>
      </c>
      <c r="F31" s="15">
        <v>296</v>
      </c>
    </row>
    <row r="32" spans="1:6" ht="12.75">
      <c r="A32" s="7" t="s">
        <v>67</v>
      </c>
      <c r="B32" s="8" t="s">
        <v>68</v>
      </c>
      <c r="C32" s="14" t="s">
        <v>14</v>
      </c>
      <c r="D32" s="15">
        <v>1984</v>
      </c>
      <c r="E32" s="16">
        <v>76</v>
      </c>
      <c r="F32" s="15">
        <v>295</v>
      </c>
    </row>
    <row r="33" spans="1:6" ht="12.75">
      <c r="A33" s="7" t="s">
        <v>69</v>
      </c>
      <c r="B33" s="8" t="s">
        <v>13</v>
      </c>
      <c r="C33" s="14" t="s">
        <v>14</v>
      </c>
      <c r="D33" s="15">
        <v>1990</v>
      </c>
      <c r="E33" s="16">
        <v>65</v>
      </c>
      <c r="F33" s="15">
        <v>293</v>
      </c>
    </row>
    <row r="34" spans="1:6" ht="12.75">
      <c r="A34" s="7" t="s">
        <v>70</v>
      </c>
      <c r="B34" s="8" t="s">
        <v>71</v>
      </c>
      <c r="C34" s="14" t="s">
        <v>17</v>
      </c>
      <c r="D34" s="15">
        <v>2000</v>
      </c>
      <c r="E34" s="16">
        <v>72</v>
      </c>
      <c r="F34" s="15">
        <v>292</v>
      </c>
    </row>
    <row r="35" spans="1:6" ht="12.75">
      <c r="A35" s="7" t="s">
        <v>72</v>
      </c>
      <c r="B35" s="8" t="s">
        <v>23</v>
      </c>
      <c r="C35" s="14" t="s">
        <v>17</v>
      </c>
      <c r="D35" s="15">
        <v>1932</v>
      </c>
      <c r="E35" s="16">
        <v>67</v>
      </c>
      <c r="F35" s="15">
        <v>290</v>
      </c>
    </row>
    <row r="36" spans="1:6" ht="12.75">
      <c r="A36" s="7" t="s">
        <v>73</v>
      </c>
      <c r="B36" s="8" t="s">
        <v>25</v>
      </c>
      <c r="C36" s="14" t="s">
        <v>26</v>
      </c>
      <c r="D36" s="15">
        <v>1999</v>
      </c>
      <c r="E36" s="16">
        <v>70</v>
      </c>
      <c r="F36" s="15">
        <v>290</v>
      </c>
    </row>
    <row r="37" spans="1:6" ht="12.75">
      <c r="A37" s="7" t="s">
        <v>74</v>
      </c>
      <c r="B37" s="8" t="s">
        <v>75</v>
      </c>
      <c r="C37" s="14" t="s">
        <v>14</v>
      </c>
      <c r="D37" s="15">
        <v>1991</v>
      </c>
      <c r="E37" s="16">
        <v>57</v>
      </c>
      <c r="F37" s="15">
        <v>290</v>
      </c>
    </row>
    <row r="38" spans="1:6" ht="12.75">
      <c r="A38" s="7" t="s">
        <v>76</v>
      </c>
      <c r="B38" s="8" t="s">
        <v>77</v>
      </c>
      <c r="C38" s="14" t="s">
        <v>14</v>
      </c>
      <c r="D38" s="15">
        <v>1987</v>
      </c>
      <c r="E38" s="16">
        <v>61</v>
      </c>
      <c r="F38" s="15">
        <v>288</v>
      </c>
    </row>
    <row r="39" spans="1:6" ht="12.75">
      <c r="A39" s="7" t="s">
        <v>78</v>
      </c>
      <c r="B39" s="8" t="s">
        <v>16</v>
      </c>
      <c r="C39" s="14" t="s">
        <v>17</v>
      </c>
      <c r="D39" s="15">
        <v>1999</v>
      </c>
      <c r="E39" s="16">
        <v>59</v>
      </c>
      <c r="F39" s="15">
        <v>285</v>
      </c>
    </row>
    <row r="40" spans="1:6" ht="12.75">
      <c r="A40" s="7" t="s">
        <v>79</v>
      </c>
      <c r="B40" s="8" t="s">
        <v>23</v>
      </c>
      <c r="C40" s="14" t="s">
        <v>14</v>
      </c>
      <c r="D40" s="15">
        <v>1930</v>
      </c>
      <c r="E40" s="16">
        <v>72</v>
      </c>
      <c r="F40" s="15">
        <v>283</v>
      </c>
    </row>
    <row r="41" spans="1:6" ht="12.75">
      <c r="A41" s="7" t="s">
        <v>80</v>
      </c>
      <c r="B41" s="8" t="s">
        <v>16</v>
      </c>
      <c r="C41" s="14" t="s">
        <v>17</v>
      </c>
      <c r="D41" s="15">
        <v>2001</v>
      </c>
      <c r="E41" s="16">
        <v>62</v>
      </c>
      <c r="F41" s="15">
        <v>281</v>
      </c>
    </row>
    <row r="42" spans="1:6" ht="12.75">
      <c r="A42" s="7" t="s">
        <v>39</v>
      </c>
      <c r="B42" s="8" t="s">
        <v>81</v>
      </c>
      <c r="C42" s="14" t="s">
        <v>14</v>
      </c>
      <c r="D42" s="15">
        <v>1985</v>
      </c>
      <c r="E42" s="16">
        <v>72</v>
      </c>
      <c r="F42" s="15">
        <v>281</v>
      </c>
    </row>
    <row r="43" spans="1:6" ht="12.75">
      <c r="A43" s="18"/>
      <c r="B43" s="19"/>
      <c r="C43" s="20" t="s">
        <v>82</v>
      </c>
      <c r="D43" s="21">
        <f>MAX(D3:D42)</f>
        <v>2001</v>
      </c>
      <c r="E43" s="21">
        <f>MAX(E3:E42)</f>
        <v>110</v>
      </c>
      <c r="F43" s="21">
        <f>MAX(F3:F42)</f>
        <v>452</v>
      </c>
    </row>
    <row r="44" spans="1:6" ht="12.75">
      <c r="A44" s="18"/>
      <c r="B44" s="19"/>
      <c r="C44" s="20" t="s">
        <v>83</v>
      </c>
      <c r="D44" s="21">
        <f>MIN(D3:D42)</f>
        <v>1930</v>
      </c>
      <c r="E44" s="21">
        <f>MIN(E3:E42)</f>
        <v>55</v>
      </c>
      <c r="F44" s="21">
        <f>MIN(F3:F42)</f>
        <v>281</v>
      </c>
    </row>
    <row r="45" spans="1:6" ht="12.75">
      <c r="A45" s="18"/>
      <c r="B45" s="19"/>
      <c r="C45" s="20" t="s">
        <v>84</v>
      </c>
      <c r="D45" s="20"/>
      <c r="E45" s="22">
        <f>AVERAGE(E3:E42)</f>
        <v>73.3</v>
      </c>
      <c r="F45" s="22">
        <f>AVERAGE(F3:F42)</f>
        <v>325.25</v>
      </c>
    </row>
    <row r="46" spans="1:6" ht="12.75">
      <c r="A46" s="18"/>
      <c r="B46" s="19"/>
      <c r="C46" s="23"/>
      <c r="D46" s="23"/>
      <c r="E46" s="24"/>
      <c r="F46" s="24"/>
    </row>
    <row r="47" spans="1:6" ht="12" customHeight="1">
      <c r="A47" s="18"/>
      <c r="B47" s="19"/>
      <c r="C47" s="20" t="s">
        <v>85</v>
      </c>
      <c r="D47" s="25"/>
      <c r="E47" s="12"/>
      <c r="F47" s="25"/>
    </row>
    <row r="48" spans="1:6" ht="12.75">
      <c r="A48" s="26" t="s">
        <v>86</v>
      </c>
      <c r="B48" s="27">
        <f>COUNTA(A3:A47)</f>
        <v>40</v>
      </c>
      <c r="C48" s="28"/>
      <c r="D48" s="25"/>
      <c r="E48" s="12"/>
      <c r="F48" s="25"/>
    </row>
    <row r="49" spans="1:4" ht="12.75">
      <c r="A49" s="7" t="s">
        <v>87</v>
      </c>
      <c r="B49" s="29">
        <f>COUNTIF(C$3:C$42,"USA")</f>
        <v>17</v>
      </c>
      <c r="C49" s="30">
        <f aca="true" t="shared" si="0" ref="C49:C55">B49/B$48</f>
        <v>0.425</v>
      </c>
      <c r="D49" s="18"/>
    </row>
    <row r="50" spans="1:3" ht="12.75">
      <c r="A50" s="7" t="s">
        <v>88</v>
      </c>
      <c r="B50" s="29">
        <f>COUNTIF(C$3:C$42,"canada")</f>
        <v>1</v>
      </c>
      <c r="C50" s="30">
        <f t="shared" si="0"/>
        <v>0.025</v>
      </c>
    </row>
    <row r="51" spans="1:3" ht="12.75">
      <c r="A51" s="7" t="s">
        <v>89</v>
      </c>
      <c r="B51" s="29">
        <f>COUNTIF(C$3:C$42,"cina")</f>
        <v>7</v>
      </c>
      <c r="C51" s="30">
        <f t="shared" si="0"/>
        <v>0.175</v>
      </c>
    </row>
    <row r="52" spans="1:3" ht="12.75">
      <c r="A52" s="7" t="s">
        <v>90</v>
      </c>
      <c r="B52" s="29">
        <f>COUNTIF(C$3:C$42,"Arabia Saudita")</f>
        <v>1</v>
      </c>
      <c r="C52" s="30">
        <f t="shared" si="0"/>
        <v>0.025</v>
      </c>
    </row>
    <row r="53" spans="1:3" ht="12.75">
      <c r="A53" s="7" t="s">
        <v>91</v>
      </c>
      <c r="B53" s="29">
        <f>B48-SUM(B49:B52)</f>
        <v>14</v>
      </c>
      <c r="C53" s="30">
        <f t="shared" si="0"/>
        <v>0.35</v>
      </c>
    </row>
    <row r="54" spans="1:3" ht="12.75">
      <c r="A54" s="31" t="s">
        <v>82</v>
      </c>
      <c r="B54" s="32">
        <f>MAX(B$49:B$53)</f>
        <v>17</v>
      </c>
      <c r="C54" s="30">
        <f t="shared" si="0"/>
        <v>0.425</v>
      </c>
    </row>
    <row r="55" spans="1:3" ht="12.75">
      <c r="A55" s="31" t="s">
        <v>83</v>
      </c>
      <c r="B55" s="32">
        <f>MIN(B$49:B$53)</f>
        <v>1</v>
      </c>
      <c r="C55" s="30">
        <f t="shared" si="0"/>
        <v>0.025</v>
      </c>
    </row>
    <row r="57" spans="1:2" ht="12.75">
      <c r="A57" s="33" t="s">
        <v>92</v>
      </c>
      <c r="B57" s="29">
        <f>COUNTIF(D$3:D$42,"&lt;=1970")</f>
        <v>5</v>
      </c>
    </row>
    <row r="58" spans="1:2" ht="12.75">
      <c r="A58" s="33" t="s">
        <v>93</v>
      </c>
      <c r="B58" s="29">
        <f>COUNTIF(D$3:D$42,"&lt;=1990")-B57</f>
        <v>13</v>
      </c>
    </row>
    <row r="59" spans="1:2" ht="12.75">
      <c r="A59" s="33" t="s">
        <v>94</v>
      </c>
      <c r="B59" s="29">
        <f>COUNTIF(D$3:D$42,"&lt;=2001")-B58-B57</f>
        <v>22</v>
      </c>
    </row>
    <row r="60" spans="1:2" ht="12.75">
      <c r="A60" s="34" t="s">
        <v>95</v>
      </c>
      <c r="B60" s="27">
        <f>SUM(B57:B59)</f>
        <v>40</v>
      </c>
    </row>
  </sheetData>
  <printOptions gridLines="1" headings="1" horizontalCentered="1" verticalCentered="1"/>
  <pageMargins left="0.45" right="0.28" top="0.34" bottom="0.35" header="0.2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C22" sqref="C22"/>
    </sheetView>
  </sheetViews>
  <sheetFormatPr defaultColWidth="9.140625" defaultRowHeight="12.75"/>
  <cols>
    <col min="1" max="1" width="14.28125" style="0" customWidth="1"/>
    <col min="2" max="2" width="10.8515625" style="0" bestFit="1" customWidth="1"/>
    <col min="3" max="3" width="10.7109375" style="0" bestFit="1" customWidth="1"/>
    <col min="4" max="4" width="9.7109375" style="0" bestFit="1" customWidth="1"/>
    <col min="5" max="5" width="9.8515625" style="0" customWidth="1"/>
    <col min="6" max="6" width="9.57421875" style="0" customWidth="1"/>
    <col min="7" max="7" width="9.421875" style="0" customWidth="1"/>
    <col min="8" max="8" width="7.28125" style="0" bestFit="1" customWidth="1"/>
    <col min="9" max="9" width="8.8515625" style="0" customWidth="1"/>
    <col min="10" max="10" width="7.00390625" style="0" bestFit="1" customWidth="1"/>
    <col min="11" max="11" width="9.140625" style="19" customWidth="1"/>
  </cols>
  <sheetData>
    <row r="1" spans="1:12" ht="12.75">
      <c r="A1" s="49" t="s">
        <v>191</v>
      </c>
      <c r="L1" s="4"/>
    </row>
    <row r="2" spans="1:11" s="58" customFormat="1" ht="12.75" thickBot="1">
      <c r="A2" s="50"/>
      <c r="B2" s="51"/>
      <c r="C2" s="52"/>
      <c r="D2" s="53"/>
      <c r="E2" s="53" t="s">
        <v>185</v>
      </c>
      <c r="F2" s="54"/>
      <c r="G2" s="53"/>
      <c r="H2" s="55"/>
      <c r="I2" s="56"/>
      <c r="J2" s="56"/>
      <c r="K2" s="57"/>
    </row>
    <row r="3" spans="2:11" s="59" customFormat="1" ht="11.25">
      <c r="B3" s="60" t="s">
        <v>169</v>
      </c>
      <c r="C3" s="61" t="s">
        <v>171</v>
      </c>
      <c r="D3" s="62" t="s">
        <v>170</v>
      </c>
      <c r="E3" s="60" t="s">
        <v>172</v>
      </c>
      <c r="F3" s="61" t="s">
        <v>173</v>
      </c>
      <c r="G3" s="62" t="s">
        <v>174</v>
      </c>
      <c r="H3" s="63" t="s">
        <v>168</v>
      </c>
      <c r="I3" s="64" t="s">
        <v>181</v>
      </c>
      <c r="J3" s="63" t="s">
        <v>168</v>
      </c>
      <c r="K3" s="64" t="s">
        <v>181</v>
      </c>
    </row>
    <row r="4" spans="2:11" s="59" customFormat="1" ht="28.5" customHeight="1">
      <c r="B4" s="65" t="s">
        <v>175</v>
      </c>
      <c r="C4" s="66" t="s">
        <v>175</v>
      </c>
      <c r="D4" s="67" t="s">
        <v>175</v>
      </c>
      <c r="E4" s="65" t="s">
        <v>175</v>
      </c>
      <c r="F4" s="66" t="s">
        <v>175</v>
      </c>
      <c r="G4" s="67" t="s">
        <v>175</v>
      </c>
      <c r="H4" s="68" t="s">
        <v>180</v>
      </c>
      <c r="I4" s="69" t="s">
        <v>180</v>
      </c>
      <c r="J4" s="70" t="s">
        <v>190</v>
      </c>
      <c r="K4" s="71" t="s">
        <v>190</v>
      </c>
    </row>
    <row r="5" spans="1:11" s="81" customFormat="1" ht="12.75">
      <c r="A5" s="72" t="s">
        <v>165</v>
      </c>
      <c r="B5" s="73">
        <v>881</v>
      </c>
      <c r="C5" s="74">
        <v>501</v>
      </c>
      <c r="D5" s="75">
        <v>981</v>
      </c>
      <c r="E5" s="76">
        <v>585</v>
      </c>
      <c r="F5" s="74">
        <v>1057</v>
      </c>
      <c r="G5" s="75">
        <v>2945</v>
      </c>
      <c r="H5" s="77">
        <f>SUM(B5:D5)</f>
        <v>2363</v>
      </c>
      <c r="I5" s="78">
        <f>SUM(E5:G5)</f>
        <v>4587</v>
      </c>
      <c r="J5" s="79">
        <f>H5/B$14</f>
        <v>0.13950056083594073</v>
      </c>
      <c r="K5" s="80">
        <f>I5/B$15</f>
        <v>0.32453657846328005</v>
      </c>
    </row>
    <row r="6" spans="1:11" s="81" customFormat="1" ht="12.75">
      <c r="A6" s="72" t="s">
        <v>166</v>
      </c>
      <c r="B6" s="73">
        <v>245</v>
      </c>
      <c r="C6" s="74">
        <v>472</v>
      </c>
      <c r="D6" s="75">
        <v>921</v>
      </c>
      <c r="E6" s="76">
        <v>46</v>
      </c>
      <c r="F6" s="74">
        <v>547</v>
      </c>
      <c r="G6" s="75">
        <v>61</v>
      </c>
      <c r="H6" s="77">
        <f aca="true" t="shared" si="0" ref="H6:H11">SUM(B6:D6)</f>
        <v>1638</v>
      </c>
      <c r="I6" s="78">
        <f aca="true" t="shared" si="1" ref="I6:I11">SUM(E6:G6)</f>
        <v>654</v>
      </c>
      <c r="J6" s="79">
        <f aca="true" t="shared" si="2" ref="J6:J11">H6/B$14</f>
        <v>0.09669992325402917</v>
      </c>
      <c r="K6" s="80">
        <f aca="true" t="shared" si="3" ref="K6:K11">I6/B$15</f>
        <v>0.0462714022923447</v>
      </c>
    </row>
    <row r="7" spans="1:11" s="81" customFormat="1" ht="12.75">
      <c r="A7" s="72" t="s">
        <v>167</v>
      </c>
      <c r="B7" s="73">
        <v>1923</v>
      </c>
      <c r="C7" s="74">
        <v>1158</v>
      </c>
      <c r="D7" s="75">
        <v>1201</v>
      </c>
      <c r="E7" s="76">
        <v>1436</v>
      </c>
      <c r="F7" s="74">
        <v>848</v>
      </c>
      <c r="G7" s="75">
        <v>1310</v>
      </c>
      <c r="H7" s="77">
        <f t="shared" si="0"/>
        <v>4282</v>
      </c>
      <c r="I7" s="78">
        <f t="shared" si="1"/>
        <v>3594</v>
      </c>
      <c r="J7" s="79">
        <f t="shared" si="2"/>
        <v>0.25278942086309697</v>
      </c>
      <c r="K7" s="80">
        <f t="shared" si="3"/>
        <v>0.25428045846894015</v>
      </c>
    </row>
    <row r="8" spans="1:11" s="81" customFormat="1" ht="12.75">
      <c r="A8" s="72" t="s">
        <v>176</v>
      </c>
      <c r="B8" s="73">
        <v>40</v>
      </c>
      <c r="C8" s="74">
        <v>35</v>
      </c>
      <c r="D8" s="75">
        <v>59</v>
      </c>
      <c r="E8" s="76">
        <v>52</v>
      </c>
      <c r="F8" s="74">
        <v>266</v>
      </c>
      <c r="G8" s="75">
        <v>156</v>
      </c>
      <c r="H8" s="77">
        <f t="shared" si="0"/>
        <v>134</v>
      </c>
      <c r="I8" s="78">
        <f t="shared" si="1"/>
        <v>474</v>
      </c>
      <c r="J8" s="79">
        <f t="shared" si="2"/>
        <v>0.007910738532380897</v>
      </c>
      <c r="K8" s="80">
        <f t="shared" si="3"/>
        <v>0.033536153955002125</v>
      </c>
    </row>
    <row r="9" spans="1:11" s="81" customFormat="1" ht="38.25">
      <c r="A9" s="82" t="s">
        <v>177</v>
      </c>
      <c r="B9" s="73">
        <v>198</v>
      </c>
      <c r="C9" s="74">
        <v>376</v>
      </c>
      <c r="D9" s="75">
        <v>911</v>
      </c>
      <c r="E9" s="76">
        <v>155</v>
      </c>
      <c r="F9" s="74">
        <v>16</v>
      </c>
      <c r="G9" s="75">
        <v>307</v>
      </c>
      <c r="H9" s="77">
        <f t="shared" si="0"/>
        <v>1485</v>
      </c>
      <c r="I9" s="78">
        <f t="shared" si="1"/>
        <v>478</v>
      </c>
      <c r="J9" s="79">
        <f t="shared" si="2"/>
        <v>0.08766751284019128</v>
      </c>
      <c r="K9" s="80">
        <f t="shared" si="3"/>
        <v>0.033819159473609736</v>
      </c>
    </row>
    <row r="10" spans="1:11" s="81" customFormat="1" ht="12.75">
      <c r="A10" s="72" t="s">
        <v>178</v>
      </c>
      <c r="B10" s="73">
        <v>1359</v>
      </c>
      <c r="C10" s="74">
        <v>738</v>
      </c>
      <c r="D10" s="75">
        <v>2169</v>
      </c>
      <c r="E10" s="76">
        <v>2422</v>
      </c>
      <c r="F10" s="74">
        <v>476</v>
      </c>
      <c r="G10" s="75">
        <v>1021</v>
      </c>
      <c r="H10" s="77">
        <f t="shared" si="0"/>
        <v>4266</v>
      </c>
      <c r="I10" s="78">
        <f t="shared" si="1"/>
        <v>3919</v>
      </c>
      <c r="J10" s="79">
        <f t="shared" si="2"/>
        <v>0.2518448550681858</v>
      </c>
      <c r="K10" s="80">
        <f t="shared" si="3"/>
        <v>0.2772746568558087</v>
      </c>
    </row>
    <row r="11" spans="1:11" s="81" customFormat="1" ht="26.25" thickBot="1">
      <c r="A11" s="83" t="s">
        <v>179</v>
      </c>
      <c r="B11" s="73">
        <v>1001</v>
      </c>
      <c r="C11" s="74">
        <v>1270</v>
      </c>
      <c r="D11" s="75">
        <v>500</v>
      </c>
      <c r="E11" s="76">
        <v>154</v>
      </c>
      <c r="F11" s="74">
        <v>1</v>
      </c>
      <c r="G11" s="75">
        <v>273</v>
      </c>
      <c r="H11" s="84">
        <f t="shared" si="0"/>
        <v>2771</v>
      </c>
      <c r="I11" s="85">
        <f t="shared" si="1"/>
        <v>428</v>
      </c>
      <c r="J11" s="79">
        <f t="shared" si="2"/>
        <v>0.1635869886061751</v>
      </c>
      <c r="K11" s="80">
        <f t="shared" si="3"/>
        <v>0.030281590491014573</v>
      </c>
    </row>
    <row r="12" spans="1:11" s="81" customFormat="1" ht="13.5" thickBot="1">
      <c r="A12" s="86" t="s">
        <v>184</v>
      </c>
      <c r="B12" s="87">
        <f aca="true" t="shared" si="4" ref="B12:G12">SUM(B5:B11)</f>
        <v>5647</v>
      </c>
      <c r="C12" s="88">
        <f t="shared" si="4"/>
        <v>4550</v>
      </c>
      <c r="D12" s="85">
        <f t="shared" si="4"/>
        <v>6742</v>
      </c>
      <c r="E12" s="87">
        <f t="shared" si="4"/>
        <v>4850</v>
      </c>
      <c r="F12" s="88">
        <f t="shared" si="4"/>
        <v>3211</v>
      </c>
      <c r="G12" s="85">
        <f t="shared" si="4"/>
        <v>6073</v>
      </c>
      <c r="H12" s="89"/>
      <c r="I12" s="90"/>
      <c r="J12" s="91"/>
      <c r="K12" s="92"/>
    </row>
    <row r="13" spans="1:11" s="94" customFormat="1" ht="12.75">
      <c r="A13" s="93"/>
      <c r="B13" s="90"/>
      <c r="C13" s="90"/>
      <c r="D13" s="90"/>
      <c r="E13" s="90"/>
      <c r="F13" s="90"/>
      <c r="G13" s="90"/>
      <c r="H13" s="89"/>
      <c r="I13" s="90"/>
      <c r="J13" s="91"/>
      <c r="K13" s="92"/>
    </row>
    <row r="14" spans="1:11" s="81" customFormat="1" ht="12.75">
      <c r="A14" s="95" t="s">
        <v>182</v>
      </c>
      <c r="B14" s="112">
        <f>SUM(B12:D12)</f>
        <v>16939</v>
      </c>
      <c r="C14" s="91"/>
      <c r="D14" s="91"/>
      <c r="E14" s="92"/>
      <c r="F14" s="91"/>
      <c r="G14" s="91"/>
      <c r="H14" s="91"/>
      <c r="I14" s="91"/>
      <c r="J14" s="91"/>
      <c r="K14" s="92"/>
    </row>
    <row r="15" spans="1:11" s="81" customFormat="1" ht="25.5">
      <c r="A15" s="96" t="s">
        <v>183</v>
      </c>
      <c r="B15" s="112">
        <f>SUM(E12:G12)</f>
        <v>14134</v>
      </c>
      <c r="C15" s="91"/>
      <c r="D15" s="91"/>
      <c r="E15" s="92"/>
      <c r="F15" s="91"/>
      <c r="G15" s="91"/>
      <c r="H15" s="91"/>
      <c r="I15" s="91"/>
      <c r="J15" s="91"/>
      <c r="K15" s="92"/>
    </row>
    <row r="16" spans="1:11" s="81" customFormat="1" ht="13.5" customHeight="1">
      <c r="A16" s="97"/>
      <c r="B16" s="91"/>
      <c r="C16" s="91"/>
      <c r="D16" s="91"/>
      <c r="E16" s="92"/>
      <c r="F16" s="91"/>
      <c r="G16" s="91"/>
      <c r="H16" s="91"/>
      <c r="I16" s="91"/>
      <c r="J16" s="91"/>
      <c r="K16" s="92"/>
    </row>
    <row r="17" spans="1:11" s="81" customFormat="1" ht="38.25">
      <c r="A17" s="98"/>
      <c r="B17" s="99" t="s">
        <v>186</v>
      </c>
      <c r="C17" s="99" t="s">
        <v>187</v>
      </c>
      <c r="D17" s="99" t="s">
        <v>188</v>
      </c>
      <c r="E17" s="99" t="s">
        <v>189</v>
      </c>
      <c r="F17" s="100"/>
      <c r="G17" s="101"/>
      <c r="H17" s="102"/>
      <c r="I17" s="91"/>
      <c r="J17" s="91"/>
      <c r="K17" s="92"/>
    </row>
    <row r="18" spans="1:11" s="81" customFormat="1" ht="12.75">
      <c r="A18" s="103" t="s">
        <v>165</v>
      </c>
      <c r="B18" s="104" t="str">
        <f>IF(H5&gt;I5,"Rai","Mediaset")</f>
        <v>Mediaset</v>
      </c>
      <c r="C18" s="104" t="str">
        <f>IF(B5&gt;E5,"Rai 1","Canale 5")</f>
        <v>Rai 1</v>
      </c>
      <c r="D18" s="104" t="str">
        <f>IF(B5&gt;D5,"Rai 1","Rai 3")</f>
        <v>Rai 3</v>
      </c>
      <c r="E18" s="104" t="str">
        <f>IF(E5&gt;G5,"Canale 5","Rete 4")</f>
        <v>Rete 4</v>
      </c>
      <c r="F18" s="92"/>
      <c r="G18" s="92"/>
      <c r="H18" s="92"/>
      <c r="I18" s="92"/>
      <c r="J18" s="92"/>
      <c r="K18" s="92"/>
    </row>
    <row r="19" spans="1:11" s="81" customFormat="1" ht="12.75">
      <c r="A19" s="72" t="s">
        <v>166</v>
      </c>
      <c r="B19" s="104" t="str">
        <f aca="true" t="shared" si="5" ref="B19:B24">IF(H6&gt;I6,"Rai","Mediaset")</f>
        <v>Rai</v>
      </c>
      <c r="C19" s="104" t="str">
        <f aca="true" t="shared" si="6" ref="C19:C24">IF(B6&gt;E6,"Rai 1","Canale 5")</f>
        <v>Rai 1</v>
      </c>
      <c r="D19" s="104" t="str">
        <f aca="true" t="shared" si="7" ref="D19:D24">IF(B6&gt;D6,"Rai 1","Rai 3")</f>
        <v>Rai 3</v>
      </c>
      <c r="E19" s="104" t="str">
        <f aca="true" t="shared" si="8" ref="E19:E24">IF(E6&gt;G6,"Canale 5","Rete 4")</f>
        <v>Rete 4</v>
      </c>
      <c r="F19" s="92"/>
      <c r="G19" s="92"/>
      <c r="H19" s="92"/>
      <c r="I19" s="92"/>
      <c r="J19" s="92"/>
      <c r="K19" s="92"/>
    </row>
    <row r="20" spans="1:11" s="81" customFormat="1" ht="12.75">
      <c r="A20" s="72" t="s">
        <v>167</v>
      </c>
      <c r="B20" s="104" t="str">
        <f t="shared" si="5"/>
        <v>Rai</v>
      </c>
      <c r="C20" s="104" t="str">
        <f t="shared" si="6"/>
        <v>Rai 1</v>
      </c>
      <c r="D20" s="104" t="str">
        <f t="shared" si="7"/>
        <v>Rai 1</v>
      </c>
      <c r="E20" s="104" t="str">
        <f t="shared" si="8"/>
        <v>Canale 5</v>
      </c>
      <c r="F20" s="92"/>
      <c r="G20" s="92"/>
      <c r="H20" s="92"/>
      <c r="I20" s="92"/>
      <c r="J20" s="92"/>
      <c r="K20" s="92"/>
    </row>
    <row r="21" spans="1:11" s="81" customFormat="1" ht="12.75">
      <c r="A21" s="72" t="s">
        <v>176</v>
      </c>
      <c r="B21" s="104" t="str">
        <f t="shared" si="5"/>
        <v>Mediaset</v>
      </c>
      <c r="C21" s="104" t="str">
        <f t="shared" si="6"/>
        <v>Canale 5</v>
      </c>
      <c r="D21" s="104" t="str">
        <f t="shared" si="7"/>
        <v>Rai 3</v>
      </c>
      <c r="E21" s="104" t="str">
        <f t="shared" si="8"/>
        <v>Rete 4</v>
      </c>
      <c r="F21" s="105"/>
      <c r="G21" s="105"/>
      <c r="H21" s="105"/>
      <c r="I21" s="105"/>
      <c r="J21" s="105"/>
      <c r="K21" s="92"/>
    </row>
    <row r="22" spans="1:10" ht="38.25">
      <c r="A22" s="82" t="s">
        <v>177</v>
      </c>
      <c r="B22" s="104" t="str">
        <f t="shared" si="5"/>
        <v>Rai</v>
      </c>
      <c r="C22" s="104" t="str">
        <f t="shared" si="6"/>
        <v>Rai 1</v>
      </c>
      <c r="D22" s="104" t="str">
        <f t="shared" si="7"/>
        <v>Rai 3</v>
      </c>
      <c r="E22" s="104" t="str">
        <f t="shared" si="8"/>
        <v>Rete 4</v>
      </c>
      <c r="F22" s="106"/>
      <c r="G22" s="106"/>
      <c r="H22" s="106"/>
      <c r="I22" s="106"/>
      <c r="J22" s="106"/>
    </row>
    <row r="23" spans="1:10" ht="12.75">
      <c r="A23" s="72" t="s">
        <v>178</v>
      </c>
      <c r="B23" s="104" t="str">
        <f t="shared" si="5"/>
        <v>Rai</v>
      </c>
      <c r="C23" s="104" t="str">
        <f t="shared" si="6"/>
        <v>Canale 5</v>
      </c>
      <c r="D23" s="104" t="str">
        <f t="shared" si="7"/>
        <v>Rai 3</v>
      </c>
      <c r="E23" s="104" t="str">
        <f t="shared" si="8"/>
        <v>Canale 5</v>
      </c>
      <c r="F23" s="106"/>
      <c r="G23" s="106"/>
      <c r="H23" s="106"/>
      <c r="I23" s="106"/>
      <c r="J23" s="106"/>
    </row>
    <row r="24" spans="1:10" ht="25.5">
      <c r="A24" s="83" t="s">
        <v>179</v>
      </c>
      <c r="B24" s="104" t="str">
        <f t="shared" si="5"/>
        <v>Rai</v>
      </c>
      <c r="C24" s="104" t="str">
        <f t="shared" si="6"/>
        <v>Rai 1</v>
      </c>
      <c r="D24" s="104" t="str">
        <f t="shared" si="7"/>
        <v>Rai 1</v>
      </c>
      <c r="E24" s="104" t="str">
        <f t="shared" si="8"/>
        <v>Rete 4</v>
      </c>
      <c r="F24" s="106"/>
      <c r="G24" s="106"/>
      <c r="H24" s="106"/>
      <c r="I24" s="106"/>
      <c r="J24" s="106"/>
    </row>
    <row r="25" spans="1:10" ht="12.75">
      <c r="A25" s="107"/>
      <c r="B25" s="108"/>
      <c r="C25" s="108"/>
      <c r="D25" s="108"/>
      <c r="E25" s="109"/>
      <c r="F25" s="110"/>
      <c r="G25" s="110"/>
      <c r="H25" s="110"/>
      <c r="I25" s="110"/>
      <c r="J25" s="110"/>
    </row>
    <row r="26" spans="1:10" ht="12.75">
      <c r="A26" s="111"/>
      <c r="B26" s="110"/>
      <c r="C26" s="110"/>
      <c r="D26" s="110"/>
      <c r="E26" s="110"/>
      <c r="F26" s="110"/>
      <c r="G26" s="110"/>
      <c r="H26" s="110"/>
      <c r="I26" s="110"/>
      <c r="J26" s="110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M1" sqref="M1"/>
    </sheetView>
  </sheetViews>
  <sheetFormatPr defaultColWidth="9.140625" defaultRowHeight="12.75"/>
  <cols>
    <col min="1" max="1" width="14.421875" style="0" customWidth="1"/>
    <col min="2" max="2" width="8.00390625" style="0" customWidth="1"/>
    <col min="3" max="4" width="5.57421875" style="0" bestFit="1" customWidth="1"/>
    <col min="5" max="5" width="8.140625" style="0" customWidth="1"/>
    <col min="6" max="6" width="5.57421875" style="0" bestFit="1" customWidth="1"/>
    <col min="7" max="7" width="8.28125" style="0" bestFit="1" customWidth="1"/>
    <col min="8" max="8" width="8.28125" style="0" customWidth="1"/>
    <col min="9" max="9" width="7.421875" style="0" customWidth="1"/>
    <col min="10" max="11" width="5.57421875" style="0" bestFit="1" customWidth="1"/>
    <col min="12" max="12" width="7.57421875" style="0" customWidth="1"/>
    <col min="13" max="13" width="5.57421875" style="0" bestFit="1" customWidth="1"/>
    <col min="14" max="14" width="8.28125" style="0" bestFit="1" customWidth="1"/>
  </cols>
  <sheetData>
    <row r="1" ht="13.5" thickBot="1">
      <c r="A1" s="113" t="s">
        <v>151</v>
      </c>
    </row>
    <row r="2" spans="1:15" ht="13.5" thickBot="1">
      <c r="A2" s="339" t="s">
        <v>144</v>
      </c>
      <c r="B2" s="114"/>
      <c r="C2" s="115"/>
      <c r="D2" s="115"/>
      <c r="E2" s="116" t="s">
        <v>152</v>
      </c>
      <c r="F2" s="115"/>
      <c r="G2" s="116"/>
      <c r="H2" s="116"/>
      <c r="I2" s="117"/>
      <c r="J2" s="118"/>
      <c r="K2" s="117"/>
      <c r="L2" s="119" t="s">
        <v>152</v>
      </c>
      <c r="M2" s="118"/>
      <c r="N2" s="119"/>
      <c r="O2" s="120"/>
    </row>
    <row r="3" spans="1:15" ht="12.75">
      <c r="A3" s="340"/>
      <c r="B3" s="121" t="s">
        <v>145</v>
      </c>
      <c r="C3" s="122" t="s">
        <v>146</v>
      </c>
      <c r="D3" s="122" t="s">
        <v>147</v>
      </c>
      <c r="E3" s="122" t="s">
        <v>148</v>
      </c>
      <c r="F3" s="122" t="s">
        <v>149</v>
      </c>
      <c r="G3" s="123" t="s">
        <v>156</v>
      </c>
      <c r="H3" s="124" t="s">
        <v>141</v>
      </c>
      <c r="I3" s="125" t="s">
        <v>145</v>
      </c>
      <c r="J3" s="126" t="s">
        <v>146</v>
      </c>
      <c r="K3" s="126" t="s">
        <v>147</v>
      </c>
      <c r="L3" s="126" t="s">
        <v>148</v>
      </c>
      <c r="M3" s="127" t="s">
        <v>149</v>
      </c>
      <c r="N3" s="128" t="s">
        <v>156</v>
      </c>
      <c r="O3" s="129" t="s">
        <v>141</v>
      </c>
    </row>
    <row r="4" spans="1:15" ht="12.75">
      <c r="A4" s="130"/>
      <c r="B4" s="131"/>
      <c r="C4" s="132"/>
      <c r="D4" s="132"/>
      <c r="E4" s="133" t="s">
        <v>163</v>
      </c>
      <c r="F4" s="132"/>
      <c r="G4" s="132"/>
      <c r="H4" s="132"/>
      <c r="I4" s="134"/>
      <c r="J4" s="135"/>
      <c r="K4" s="135"/>
      <c r="L4" s="136" t="s">
        <v>162</v>
      </c>
      <c r="M4" s="135"/>
      <c r="N4" s="137"/>
      <c r="O4" s="138"/>
    </row>
    <row r="5" spans="1:15" ht="12.75">
      <c r="A5" s="139" t="s">
        <v>150</v>
      </c>
      <c r="B5" s="140">
        <v>8.6</v>
      </c>
      <c r="C5" s="141">
        <v>9.4</v>
      </c>
      <c r="D5" s="141">
        <v>12.1</v>
      </c>
      <c r="E5" s="141">
        <v>13.5</v>
      </c>
      <c r="F5" s="141">
        <v>12</v>
      </c>
      <c r="G5" s="141">
        <v>9.5</v>
      </c>
      <c r="H5" s="142">
        <f>AVERAGE(B5:G5)</f>
        <v>10.85</v>
      </c>
      <c r="I5" s="140">
        <v>12.5</v>
      </c>
      <c r="J5" s="141">
        <v>14.8</v>
      </c>
      <c r="K5" s="141">
        <v>17.6</v>
      </c>
      <c r="L5" s="141">
        <v>17.5</v>
      </c>
      <c r="M5" s="143">
        <v>15.1</v>
      </c>
      <c r="N5" s="141">
        <v>13.5</v>
      </c>
      <c r="O5" s="144">
        <f>AVERAGE(I5:N5)</f>
        <v>15.166666666666666</v>
      </c>
    </row>
    <row r="6" spans="1:15" ht="12.75">
      <c r="A6" s="139" t="s">
        <v>153</v>
      </c>
      <c r="B6" s="140">
        <v>9</v>
      </c>
      <c r="C6" s="141">
        <v>10.8</v>
      </c>
      <c r="D6" s="141">
        <v>12.6</v>
      </c>
      <c r="E6" s="141">
        <v>13.1</v>
      </c>
      <c r="F6" s="141">
        <v>12.1</v>
      </c>
      <c r="G6" s="141">
        <v>10.5</v>
      </c>
      <c r="H6" s="142">
        <f>AVERAGE(B6:G6)</f>
        <v>11.35</v>
      </c>
      <c r="I6" s="140">
        <v>11.9</v>
      </c>
      <c r="J6" s="141">
        <v>14.7</v>
      </c>
      <c r="K6" s="141">
        <v>17.2</v>
      </c>
      <c r="L6" s="141">
        <v>17.6</v>
      </c>
      <c r="M6" s="143">
        <v>16.8</v>
      </c>
      <c r="N6" s="141">
        <v>13.7</v>
      </c>
      <c r="O6" s="144">
        <f>AVERAGE(I6:N6)</f>
        <v>15.316666666666668</v>
      </c>
    </row>
    <row r="7" spans="1:15" ht="12.75">
      <c r="A7" s="145" t="s">
        <v>155</v>
      </c>
      <c r="B7" s="140">
        <v>9.5</v>
      </c>
      <c r="C7" s="141">
        <v>11.5</v>
      </c>
      <c r="D7" s="141">
        <v>12.6</v>
      </c>
      <c r="E7" s="141">
        <v>13.3</v>
      </c>
      <c r="F7" s="141">
        <v>13</v>
      </c>
      <c r="G7" s="141">
        <v>11.9</v>
      </c>
      <c r="H7" s="142">
        <f>AVERAGE(B7:G7)</f>
        <v>11.966666666666669</v>
      </c>
      <c r="I7" s="140">
        <v>12.1</v>
      </c>
      <c r="J7" s="141">
        <v>14.5</v>
      </c>
      <c r="K7" s="141">
        <v>17.9</v>
      </c>
      <c r="L7" s="141">
        <v>19.1</v>
      </c>
      <c r="M7" s="143">
        <v>17</v>
      </c>
      <c r="N7" s="141">
        <v>13.6</v>
      </c>
      <c r="O7" s="144">
        <f>AVERAGE(I7:N7)</f>
        <v>15.699999999999998</v>
      </c>
    </row>
    <row r="8" spans="1:15" ht="12.75">
      <c r="A8" s="145" t="s">
        <v>154</v>
      </c>
      <c r="B8" s="140">
        <v>9.9</v>
      </c>
      <c r="C8" s="141">
        <v>11.2</v>
      </c>
      <c r="D8" s="141">
        <v>12.6</v>
      </c>
      <c r="E8" s="141">
        <v>12.9</v>
      </c>
      <c r="F8" s="141">
        <v>12.5</v>
      </c>
      <c r="G8" s="141">
        <v>11.9</v>
      </c>
      <c r="H8" s="142">
        <f>AVERAGE(B8:G8)</f>
        <v>11.833333333333334</v>
      </c>
      <c r="I8" s="140">
        <v>14.3</v>
      </c>
      <c r="J8" s="141">
        <v>16.4</v>
      </c>
      <c r="K8" s="141">
        <v>18.3</v>
      </c>
      <c r="L8" s="141">
        <v>19.2</v>
      </c>
      <c r="M8" s="143">
        <v>18.1</v>
      </c>
      <c r="N8" s="141">
        <v>14.6</v>
      </c>
      <c r="O8" s="144">
        <f>AVERAGE(I8:N8)</f>
        <v>16.816666666666666</v>
      </c>
    </row>
    <row r="9" spans="1:15" ht="12.75">
      <c r="A9" s="146" t="s">
        <v>164</v>
      </c>
      <c r="B9" s="147">
        <f aca="true" t="shared" si="0" ref="B9:G9">AVERAGE(B6:B8)</f>
        <v>9.466666666666667</v>
      </c>
      <c r="C9" s="144">
        <f t="shared" si="0"/>
        <v>11.166666666666666</v>
      </c>
      <c r="D9" s="144">
        <f t="shared" si="0"/>
        <v>12.6</v>
      </c>
      <c r="E9" s="144">
        <f t="shared" si="0"/>
        <v>13.1</v>
      </c>
      <c r="F9" s="144">
        <f t="shared" si="0"/>
        <v>12.533333333333333</v>
      </c>
      <c r="G9" s="144">
        <f t="shared" si="0"/>
        <v>11.433333333333332</v>
      </c>
      <c r="H9" s="142">
        <f>AVERAGE(B9:G9)</f>
        <v>11.716666666666667</v>
      </c>
      <c r="I9" s="147">
        <f aca="true" t="shared" si="1" ref="I9:N9">AVERAGE(I6:I8)</f>
        <v>12.766666666666666</v>
      </c>
      <c r="J9" s="144">
        <f t="shared" si="1"/>
        <v>15.199999999999998</v>
      </c>
      <c r="K9" s="144">
        <f t="shared" si="1"/>
        <v>17.799999999999997</v>
      </c>
      <c r="L9" s="144">
        <f t="shared" si="1"/>
        <v>18.633333333333336</v>
      </c>
      <c r="M9" s="148">
        <f t="shared" si="1"/>
        <v>17.3</v>
      </c>
      <c r="N9" s="144">
        <f t="shared" si="1"/>
        <v>13.966666666666667</v>
      </c>
      <c r="O9" s="142">
        <f>AVERAGE(I9:N9)</f>
        <v>15.944444444444443</v>
      </c>
    </row>
    <row r="10" spans="1:14" ht="12.75">
      <c r="A10" s="146" t="s">
        <v>157</v>
      </c>
      <c r="B10" s="149">
        <f>MAX(B5:B8)</f>
        <v>9.9</v>
      </c>
      <c r="C10" s="149">
        <f aca="true" t="shared" si="2" ref="C10:N10">MAX(C5:C8)</f>
        <v>11.5</v>
      </c>
      <c r="D10" s="149">
        <f t="shared" si="2"/>
        <v>12.6</v>
      </c>
      <c r="E10" s="149">
        <f t="shared" si="2"/>
        <v>13.5</v>
      </c>
      <c r="F10" s="149">
        <f t="shared" si="2"/>
        <v>13</v>
      </c>
      <c r="G10" s="149">
        <f t="shared" si="2"/>
        <v>11.9</v>
      </c>
      <c r="H10" s="150"/>
      <c r="I10" s="149">
        <f t="shared" si="2"/>
        <v>14.3</v>
      </c>
      <c r="J10" s="149">
        <f t="shared" si="2"/>
        <v>16.4</v>
      </c>
      <c r="K10" s="149">
        <f t="shared" si="2"/>
        <v>18.3</v>
      </c>
      <c r="L10" s="149">
        <f t="shared" si="2"/>
        <v>19.2</v>
      </c>
      <c r="M10" s="151">
        <f t="shared" si="2"/>
        <v>18.1</v>
      </c>
      <c r="N10" s="152">
        <f t="shared" si="2"/>
        <v>14.6</v>
      </c>
    </row>
    <row r="11" spans="1:14" ht="12.7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ht="12.75">
      <c r="A12" s="155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12.75">
      <c r="A13" s="156" t="s">
        <v>158</v>
      </c>
      <c r="B13" s="157" t="str">
        <f aca="true" t="shared" si="3" ref="B13:N13">IF(B$5&gt;B9,"più","meno")</f>
        <v>meno</v>
      </c>
      <c r="C13" s="104" t="str">
        <f t="shared" si="3"/>
        <v>meno</v>
      </c>
      <c r="D13" s="104" t="str">
        <f t="shared" si="3"/>
        <v>meno</v>
      </c>
      <c r="E13" s="104" t="str">
        <f t="shared" si="3"/>
        <v>più</v>
      </c>
      <c r="F13" s="104" t="str">
        <f t="shared" si="3"/>
        <v>meno</v>
      </c>
      <c r="G13" s="104" t="str">
        <f t="shared" si="3"/>
        <v>meno</v>
      </c>
      <c r="H13" s="158"/>
      <c r="I13" s="157" t="str">
        <f t="shared" si="3"/>
        <v>meno</v>
      </c>
      <c r="J13" s="104" t="str">
        <f t="shared" si="3"/>
        <v>meno</v>
      </c>
      <c r="K13" s="104" t="str">
        <f t="shared" si="3"/>
        <v>meno</v>
      </c>
      <c r="L13" s="104" t="str">
        <f t="shared" si="3"/>
        <v>meno</v>
      </c>
      <c r="M13" s="104" t="str">
        <f t="shared" si="3"/>
        <v>meno</v>
      </c>
      <c r="N13" s="159" t="str">
        <f t="shared" si="3"/>
        <v>meno</v>
      </c>
    </row>
    <row r="14" spans="1:14" ht="12.75">
      <c r="A14" s="156" t="s">
        <v>159</v>
      </c>
      <c r="B14" s="157" t="str">
        <f aca="true" t="shared" si="4" ref="B14:N16">IF(B$5&gt;B6,"più","meno")</f>
        <v>meno</v>
      </c>
      <c r="C14" s="104" t="str">
        <f t="shared" si="4"/>
        <v>meno</v>
      </c>
      <c r="D14" s="104" t="str">
        <f t="shared" si="4"/>
        <v>meno</v>
      </c>
      <c r="E14" s="104" t="str">
        <f t="shared" si="4"/>
        <v>più</v>
      </c>
      <c r="F14" s="104" t="str">
        <f t="shared" si="4"/>
        <v>meno</v>
      </c>
      <c r="G14" s="104" t="str">
        <f t="shared" si="4"/>
        <v>meno</v>
      </c>
      <c r="H14" s="158"/>
      <c r="I14" s="157" t="str">
        <f t="shared" si="4"/>
        <v>più</v>
      </c>
      <c r="J14" s="104" t="str">
        <f t="shared" si="4"/>
        <v>più</v>
      </c>
      <c r="K14" s="104" t="str">
        <f t="shared" si="4"/>
        <v>più</v>
      </c>
      <c r="L14" s="104" t="str">
        <f t="shared" si="4"/>
        <v>meno</v>
      </c>
      <c r="M14" s="104" t="str">
        <f t="shared" si="4"/>
        <v>meno</v>
      </c>
      <c r="N14" s="159" t="str">
        <f t="shared" si="4"/>
        <v>meno</v>
      </c>
    </row>
    <row r="15" spans="1:14" ht="12.75">
      <c r="A15" s="156" t="s">
        <v>160</v>
      </c>
      <c r="B15" s="157" t="str">
        <f t="shared" si="4"/>
        <v>meno</v>
      </c>
      <c r="C15" s="104" t="str">
        <f t="shared" si="4"/>
        <v>meno</v>
      </c>
      <c r="D15" s="104" t="str">
        <f t="shared" si="4"/>
        <v>meno</v>
      </c>
      <c r="E15" s="104" t="str">
        <f t="shared" si="4"/>
        <v>più</v>
      </c>
      <c r="F15" s="104" t="str">
        <f t="shared" si="4"/>
        <v>meno</v>
      </c>
      <c r="G15" s="104" t="str">
        <f t="shared" si="4"/>
        <v>meno</v>
      </c>
      <c r="H15" s="158"/>
      <c r="I15" s="157" t="str">
        <f t="shared" si="4"/>
        <v>più</v>
      </c>
      <c r="J15" s="104" t="str">
        <f t="shared" si="4"/>
        <v>più</v>
      </c>
      <c r="K15" s="104" t="str">
        <f t="shared" si="4"/>
        <v>meno</v>
      </c>
      <c r="L15" s="104" t="str">
        <f t="shared" si="4"/>
        <v>meno</v>
      </c>
      <c r="M15" s="104" t="str">
        <f t="shared" si="4"/>
        <v>meno</v>
      </c>
      <c r="N15" s="159" t="str">
        <f t="shared" si="4"/>
        <v>meno</v>
      </c>
    </row>
    <row r="16" spans="1:14" ht="13.5" thickBot="1">
      <c r="A16" s="156" t="s">
        <v>161</v>
      </c>
      <c r="B16" s="160" t="str">
        <f t="shared" si="4"/>
        <v>meno</v>
      </c>
      <c r="C16" s="161" t="str">
        <f t="shared" si="4"/>
        <v>meno</v>
      </c>
      <c r="D16" s="161" t="str">
        <f t="shared" si="4"/>
        <v>meno</v>
      </c>
      <c r="E16" s="161" t="str">
        <f t="shared" si="4"/>
        <v>più</v>
      </c>
      <c r="F16" s="161" t="str">
        <f t="shared" si="4"/>
        <v>meno</v>
      </c>
      <c r="G16" s="161" t="str">
        <f t="shared" si="4"/>
        <v>meno</v>
      </c>
      <c r="H16" s="162"/>
      <c r="I16" s="160" t="str">
        <f t="shared" si="4"/>
        <v>meno</v>
      </c>
      <c r="J16" s="161" t="str">
        <f t="shared" si="4"/>
        <v>meno</v>
      </c>
      <c r="K16" s="161" t="str">
        <f t="shared" si="4"/>
        <v>meno</v>
      </c>
      <c r="L16" s="161" t="str">
        <f t="shared" si="4"/>
        <v>meno</v>
      </c>
      <c r="M16" s="161" t="str">
        <f t="shared" si="4"/>
        <v>meno</v>
      </c>
      <c r="N16" s="163" t="str">
        <f t="shared" si="4"/>
        <v>meno</v>
      </c>
    </row>
    <row r="17" spans="1:14" ht="12.75">
      <c r="A17" s="16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12.75">
      <c r="A18" s="16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8" ht="12.75">
      <c r="A19" s="165"/>
      <c r="B19" s="166"/>
      <c r="C19" s="166"/>
      <c r="D19" s="166"/>
      <c r="E19" s="166"/>
      <c r="F19" s="166"/>
      <c r="G19" s="166"/>
      <c r="H19" s="166"/>
    </row>
    <row r="20" spans="2:9" ht="12.75">
      <c r="B20" s="167"/>
      <c r="C20" s="166"/>
      <c r="D20" s="166"/>
      <c r="E20" s="166"/>
      <c r="I20" s="167"/>
    </row>
  </sheetData>
  <mergeCells count="1">
    <mergeCell ref="A2:A3"/>
  </mergeCells>
  <printOptions/>
  <pageMargins left="0.48" right="0.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0">
      <selection activeCell="A2" sqref="A2"/>
    </sheetView>
  </sheetViews>
  <sheetFormatPr defaultColWidth="9.140625" defaultRowHeight="12.75"/>
  <cols>
    <col min="1" max="1" width="19.00390625" style="0" customWidth="1"/>
    <col min="2" max="2" width="10.7109375" style="0" bestFit="1" customWidth="1"/>
    <col min="4" max="4" width="8.8515625" style="0" bestFit="1" customWidth="1"/>
    <col min="5" max="5" width="8.7109375" style="0" customWidth="1"/>
    <col min="6" max="7" width="8.8515625" style="0" bestFit="1" customWidth="1"/>
    <col min="8" max="8" width="8.8515625" style="0" customWidth="1"/>
    <col min="9" max="9" width="9.140625" style="19" customWidth="1"/>
  </cols>
  <sheetData>
    <row r="1" spans="1:10" ht="12.75">
      <c r="A1" s="4" t="s">
        <v>231</v>
      </c>
      <c r="J1" s="4" t="s">
        <v>232</v>
      </c>
    </row>
    <row r="2" spans="1:9" s="58" customFormat="1" ht="12">
      <c r="A2" s="50"/>
      <c r="B2" s="51"/>
      <c r="C2" s="168"/>
      <c r="D2" s="169"/>
      <c r="E2" s="169" t="s">
        <v>230</v>
      </c>
      <c r="F2" s="170"/>
      <c r="G2" s="169"/>
      <c r="H2" s="171"/>
      <c r="I2" s="57"/>
    </row>
    <row r="3" spans="2:9" s="59" customFormat="1" ht="28.5" customHeight="1">
      <c r="B3" s="66" t="s">
        <v>229</v>
      </c>
      <c r="C3" s="66" t="s">
        <v>233</v>
      </c>
      <c r="D3" s="66" t="s">
        <v>234</v>
      </c>
      <c r="E3" s="66" t="s">
        <v>235</v>
      </c>
      <c r="F3" s="66" t="s">
        <v>236</v>
      </c>
      <c r="G3" s="66" t="s">
        <v>237</v>
      </c>
      <c r="H3" s="66" t="s">
        <v>238</v>
      </c>
      <c r="I3" s="172"/>
    </row>
    <row r="4" spans="1:9" s="81" customFormat="1" ht="12.75">
      <c r="A4" s="173" t="s">
        <v>210</v>
      </c>
      <c r="B4" s="174">
        <v>2.4</v>
      </c>
      <c r="C4" s="174">
        <v>27</v>
      </c>
      <c r="D4" s="174">
        <v>31.4</v>
      </c>
      <c r="E4" s="175">
        <v>21.8</v>
      </c>
      <c r="F4" s="174">
        <v>16.4</v>
      </c>
      <c r="G4" s="174">
        <v>2.7</v>
      </c>
      <c r="H4" s="174">
        <v>0.7</v>
      </c>
      <c r="I4" s="92"/>
    </row>
    <row r="5" spans="1:9" s="81" customFormat="1" ht="12.75">
      <c r="A5" s="173" t="s">
        <v>211</v>
      </c>
      <c r="B5" s="174">
        <v>2.2</v>
      </c>
      <c r="C5" s="174">
        <v>32.3</v>
      </c>
      <c r="D5" s="174">
        <v>30.3</v>
      </c>
      <c r="E5" s="175">
        <v>21</v>
      </c>
      <c r="F5" s="174">
        <v>13.8</v>
      </c>
      <c r="G5" s="174">
        <v>2.4</v>
      </c>
      <c r="H5" s="174">
        <v>0.3</v>
      </c>
      <c r="I5" s="92"/>
    </row>
    <row r="6" spans="1:9" s="81" customFormat="1" ht="12.75">
      <c r="A6" s="173" t="s">
        <v>192</v>
      </c>
      <c r="B6" s="174">
        <v>2.5</v>
      </c>
      <c r="C6" s="174">
        <v>25.3</v>
      </c>
      <c r="D6" s="174">
        <v>27.4</v>
      </c>
      <c r="E6" s="175">
        <v>22.7</v>
      </c>
      <c r="F6" s="174">
        <v>19.3</v>
      </c>
      <c r="G6" s="174">
        <v>4.3</v>
      </c>
      <c r="H6" s="174">
        <v>1</v>
      </c>
      <c r="I6" s="92"/>
    </row>
    <row r="7" spans="1:9" s="81" customFormat="1" ht="12.75">
      <c r="A7" s="173" t="s">
        <v>212</v>
      </c>
      <c r="B7" s="174">
        <v>2.6</v>
      </c>
      <c r="C7" s="174">
        <v>26</v>
      </c>
      <c r="D7" s="174">
        <v>24.7</v>
      </c>
      <c r="E7" s="175">
        <v>21.4</v>
      </c>
      <c r="F7" s="174">
        <v>20.5</v>
      </c>
      <c r="G7" s="174">
        <v>5.5</v>
      </c>
      <c r="H7" s="174">
        <v>1.9</v>
      </c>
      <c r="I7" s="92"/>
    </row>
    <row r="8" spans="1:9" s="81" customFormat="1" ht="12.75">
      <c r="A8" s="176" t="s">
        <v>213</v>
      </c>
      <c r="B8" s="174">
        <v>2.7</v>
      </c>
      <c r="C8" s="174">
        <v>21.7</v>
      </c>
      <c r="D8" s="174">
        <v>26.3</v>
      </c>
      <c r="E8" s="175">
        <v>23.3</v>
      </c>
      <c r="F8" s="174">
        <v>21.6</v>
      </c>
      <c r="G8" s="174">
        <v>5.2</v>
      </c>
      <c r="H8" s="174">
        <v>1.9</v>
      </c>
      <c r="I8" s="92"/>
    </row>
    <row r="9" spans="1:9" s="81" customFormat="1" ht="12.75">
      <c r="A9" s="173" t="s">
        <v>214</v>
      </c>
      <c r="B9" s="174">
        <v>2.4</v>
      </c>
      <c r="C9" s="174">
        <v>28.4</v>
      </c>
      <c r="D9" s="174">
        <v>29.1</v>
      </c>
      <c r="E9" s="175">
        <v>21.1</v>
      </c>
      <c r="F9" s="174">
        <v>17.1</v>
      </c>
      <c r="G9" s="174">
        <v>3.3</v>
      </c>
      <c r="H9" s="174">
        <v>1</v>
      </c>
      <c r="I9" s="92"/>
    </row>
    <row r="10" spans="1:9" s="81" customFormat="1" ht="12.75">
      <c r="A10" s="173" t="s">
        <v>215</v>
      </c>
      <c r="B10" s="174">
        <v>2.3</v>
      </c>
      <c r="C10" s="174">
        <v>32</v>
      </c>
      <c r="D10" s="174">
        <v>28.1</v>
      </c>
      <c r="E10" s="175">
        <v>22.4</v>
      </c>
      <c r="F10" s="174">
        <v>14.8</v>
      </c>
      <c r="G10" s="174">
        <v>2.3</v>
      </c>
      <c r="H10" s="174">
        <v>0.4</v>
      </c>
      <c r="I10" s="92"/>
    </row>
    <row r="11" spans="1:9" s="81" customFormat="1" ht="12.75">
      <c r="A11" s="173" t="s">
        <v>216</v>
      </c>
      <c r="B11" s="174">
        <v>2.5</v>
      </c>
      <c r="C11" s="174">
        <v>22.4</v>
      </c>
      <c r="D11" s="174">
        <v>31.9</v>
      </c>
      <c r="E11" s="175">
        <v>24.9</v>
      </c>
      <c r="F11" s="174">
        <v>16.7</v>
      </c>
      <c r="G11" s="174">
        <v>2.9</v>
      </c>
      <c r="H11" s="174">
        <v>1.2</v>
      </c>
      <c r="I11" s="92"/>
    </row>
    <row r="12" spans="1:9" s="81" customFormat="1" ht="12.75">
      <c r="A12" s="173" t="s">
        <v>217</v>
      </c>
      <c r="B12" s="174">
        <v>2.5</v>
      </c>
      <c r="C12" s="174">
        <v>22.5</v>
      </c>
      <c r="D12" s="174">
        <v>30.1</v>
      </c>
      <c r="E12" s="175">
        <v>25.2</v>
      </c>
      <c r="F12" s="174">
        <v>16.8</v>
      </c>
      <c r="G12" s="174">
        <v>4.3</v>
      </c>
      <c r="H12" s="174">
        <v>1.1</v>
      </c>
      <c r="I12" s="92"/>
    </row>
    <row r="13" spans="1:9" s="81" customFormat="1" ht="12.75">
      <c r="A13" s="173" t="s">
        <v>218</v>
      </c>
      <c r="B13" s="174">
        <v>2.6</v>
      </c>
      <c r="C13" s="174">
        <v>22.2</v>
      </c>
      <c r="D13" s="174">
        <v>28.7</v>
      </c>
      <c r="E13" s="175">
        <v>22.1</v>
      </c>
      <c r="F13" s="174">
        <v>21</v>
      </c>
      <c r="G13" s="174">
        <v>3.9</v>
      </c>
      <c r="H13" s="174">
        <v>2.1</v>
      </c>
      <c r="I13" s="92"/>
    </row>
    <row r="14" spans="1:9" s="81" customFormat="1" ht="12.75">
      <c r="A14" s="173" t="s">
        <v>219</v>
      </c>
      <c r="B14" s="174">
        <v>2.7</v>
      </c>
      <c r="C14" s="174">
        <v>21</v>
      </c>
      <c r="D14" s="174">
        <v>25.2</v>
      </c>
      <c r="E14" s="175">
        <v>24.4</v>
      </c>
      <c r="F14" s="174">
        <v>21.4</v>
      </c>
      <c r="G14" s="174">
        <v>5.4</v>
      </c>
      <c r="H14" s="174">
        <v>2.6</v>
      </c>
      <c r="I14" s="92"/>
    </row>
    <row r="15" spans="1:9" s="81" customFormat="1" ht="12.75">
      <c r="A15" s="173" t="s">
        <v>220</v>
      </c>
      <c r="B15" s="174">
        <v>2.6</v>
      </c>
      <c r="C15" s="174">
        <v>26.8</v>
      </c>
      <c r="D15" s="174">
        <v>23.5</v>
      </c>
      <c r="E15" s="175">
        <v>23.2</v>
      </c>
      <c r="F15" s="174">
        <v>20.6</v>
      </c>
      <c r="G15" s="174">
        <v>4.9</v>
      </c>
      <c r="H15" s="174">
        <v>1</v>
      </c>
      <c r="I15" s="92"/>
    </row>
    <row r="16" spans="1:9" s="81" customFormat="1" ht="12.75">
      <c r="A16" s="173" t="s">
        <v>221</v>
      </c>
      <c r="B16" s="174">
        <v>2.8</v>
      </c>
      <c r="C16" s="174">
        <v>19</v>
      </c>
      <c r="D16" s="174">
        <v>25.2</v>
      </c>
      <c r="E16" s="175">
        <v>23.2</v>
      </c>
      <c r="F16" s="174">
        <v>23</v>
      </c>
      <c r="G16" s="174">
        <v>8.3</v>
      </c>
      <c r="H16" s="174">
        <v>1.4</v>
      </c>
      <c r="I16" s="92"/>
    </row>
    <row r="17" spans="1:9" s="81" customFormat="1" ht="12.75">
      <c r="A17" s="173" t="s">
        <v>222</v>
      </c>
      <c r="B17" s="174">
        <v>2.7</v>
      </c>
      <c r="C17" s="174">
        <v>22.6</v>
      </c>
      <c r="D17" s="174">
        <v>26.2</v>
      </c>
      <c r="E17" s="175">
        <v>19.2</v>
      </c>
      <c r="F17" s="174">
        <v>22.5</v>
      </c>
      <c r="G17" s="174">
        <v>7.6</v>
      </c>
      <c r="H17" s="174">
        <v>1.9</v>
      </c>
      <c r="I17" s="92"/>
    </row>
    <row r="18" spans="1:9" s="81" customFormat="1" ht="12.75">
      <c r="A18" s="173" t="s">
        <v>223</v>
      </c>
      <c r="B18" s="174">
        <v>3.1</v>
      </c>
      <c r="C18" s="174">
        <v>14.7</v>
      </c>
      <c r="D18" s="174">
        <v>20.4</v>
      </c>
      <c r="E18" s="175">
        <v>21.8</v>
      </c>
      <c r="F18" s="174">
        <v>28</v>
      </c>
      <c r="G18" s="174">
        <v>11</v>
      </c>
      <c r="H18" s="174">
        <v>4.2</v>
      </c>
      <c r="I18" s="92"/>
    </row>
    <row r="19" spans="1:9" s="81" customFormat="1" ht="12.75">
      <c r="A19" s="173" t="s">
        <v>224</v>
      </c>
      <c r="B19" s="174">
        <v>3</v>
      </c>
      <c r="C19" s="174">
        <v>18.3</v>
      </c>
      <c r="D19" s="174">
        <v>22.3</v>
      </c>
      <c r="E19" s="175">
        <v>20.7</v>
      </c>
      <c r="F19" s="174">
        <v>25.9</v>
      </c>
      <c r="G19" s="174">
        <v>10.4</v>
      </c>
      <c r="H19" s="174">
        <v>2.5</v>
      </c>
      <c r="I19" s="92"/>
    </row>
    <row r="20" spans="1:9" s="81" customFormat="1" ht="12.75">
      <c r="A20" s="173" t="s">
        <v>225</v>
      </c>
      <c r="B20" s="174">
        <v>2.9</v>
      </c>
      <c r="C20" s="174">
        <v>17.9</v>
      </c>
      <c r="D20" s="174">
        <v>27.9</v>
      </c>
      <c r="E20" s="175">
        <v>17.3</v>
      </c>
      <c r="F20" s="174">
        <v>25.2</v>
      </c>
      <c r="G20" s="174">
        <v>9.9</v>
      </c>
      <c r="H20" s="174">
        <v>1.8</v>
      </c>
      <c r="I20" s="92"/>
    </row>
    <row r="21" spans="1:9" s="81" customFormat="1" ht="12.75">
      <c r="A21" s="173" t="s">
        <v>226</v>
      </c>
      <c r="B21" s="174">
        <v>2.9</v>
      </c>
      <c r="C21" s="174">
        <v>21</v>
      </c>
      <c r="D21" s="174">
        <v>22.6</v>
      </c>
      <c r="E21" s="175">
        <v>17.7</v>
      </c>
      <c r="F21" s="174">
        <v>25.2</v>
      </c>
      <c r="G21" s="174">
        <v>10</v>
      </c>
      <c r="H21" s="174">
        <v>3.5</v>
      </c>
      <c r="I21" s="92"/>
    </row>
    <row r="22" spans="1:9" s="81" customFormat="1" ht="12.75">
      <c r="A22" s="173" t="s">
        <v>227</v>
      </c>
      <c r="B22" s="174">
        <v>2.8</v>
      </c>
      <c r="C22" s="174">
        <v>20.6</v>
      </c>
      <c r="D22" s="174">
        <v>24.9</v>
      </c>
      <c r="E22" s="175">
        <v>19.2</v>
      </c>
      <c r="F22" s="174">
        <v>24.3</v>
      </c>
      <c r="G22" s="174">
        <v>9.1</v>
      </c>
      <c r="H22" s="174">
        <v>1.9</v>
      </c>
      <c r="I22" s="92"/>
    </row>
    <row r="23" spans="1:9" s="81" customFormat="1" ht="13.5" thickBot="1">
      <c r="A23" s="177" t="s">
        <v>228</v>
      </c>
      <c r="B23" s="178">
        <v>3</v>
      </c>
      <c r="C23" s="178">
        <v>17.7</v>
      </c>
      <c r="D23" s="178">
        <v>20.1</v>
      </c>
      <c r="E23" s="179">
        <v>24.3</v>
      </c>
      <c r="F23" s="178">
        <v>26.7</v>
      </c>
      <c r="G23" s="178">
        <v>8.1</v>
      </c>
      <c r="H23" s="178">
        <v>3.1</v>
      </c>
      <c r="I23" s="92"/>
    </row>
    <row r="24" spans="1:9" s="81" customFormat="1" ht="12.75">
      <c r="A24" s="180" t="s">
        <v>153</v>
      </c>
      <c r="B24" s="181">
        <v>2.5</v>
      </c>
      <c r="C24" s="181">
        <v>25.2</v>
      </c>
      <c r="D24" s="181">
        <v>28.7</v>
      </c>
      <c r="E24" s="182">
        <v>22.8</v>
      </c>
      <c r="F24" s="181">
        <v>18.3</v>
      </c>
      <c r="G24" s="181">
        <v>3.8</v>
      </c>
      <c r="H24" s="183">
        <v>1.1</v>
      </c>
      <c r="I24" s="92"/>
    </row>
    <row r="25" spans="1:9" s="81" customFormat="1" ht="12.75">
      <c r="A25" s="184" t="s">
        <v>155</v>
      </c>
      <c r="B25" s="174">
        <v>2.6</v>
      </c>
      <c r="C25" s="174">
        <v>24.3</v>
      </c>
      <c r="D25" s="174">
        <v>26.2</v>
      </c>
      <c r="E25" s="175">
        <v>23.9</v>
      </c>
      <c r="F25" s="174">
        <v>19.5</v>
      </c>
      <c r="G25" s="174">
        <v>4.7</v>
      </c>
      <c r="H25" s="185">
        <v>1.3</v>
      </c>
      <c r="I25" s="92"/>
    </row>
    <row r="26" spans="1:9" s="81" customFormat="1" ht="12.75">
      <c r="A26" s="184" t="s">
        <v>154</v>
      </c>
      <c r="B26" s="174">
        <v>3</v>
      </c>
      <c r="C26" s="174">
        <v>18.3</v>
      </c>
      <c r="D26" s="174">
        <v>22.7</v>
      </c>
      <c r="E26" s="175">
        <v>20.6</v>
      </c>
      <c r="F26" s="174">
        <v>25.8</v>
      </c>
      <c r="G26" s="174">
        <v>9.8</v>
      </c>
      <c r="H26" s="185">
        <v>2.8</v>
      </c>
      <c r="I26" s="92"/>
    </row>
    <row r="27" spans="1:9" s="81" customFormat="1" ht="13.5" thickBot="1">
      <c r="A27" s="186" t="s">
        <v>209</v>
      </c>
      <c r="B27" s="187">
        <v>2.7</v>
      </c>
      <c r="C27" s="187">
        <v>19.9</v>
      </c>
      <c r="D27" s="187">
        <v>23.8</v>
      </c>
      <c r="E27" s="188">
        <v>20.4</v>
      </c>
      <c r="F27" s="187">
        <v>24.9</v>
      </c>
      <c r="G27" s="187">
        <v>8.9</v>
      </c>
      <c r="H27" s="189">
        <v>2.2</v>
      </c>
      <c r="I27" s="92"/>
    </row>
    <row r="28" spans="1:8" ht="12.75">
      <c r="A28" s="190" t="s">
        <v>239</v>
      </c>
      <c r="B28" s="191">
        <f aca="true" t="shared" si="0" ref="B28:H28">MAX(B4:B23)</f>
        <v>3.1</v>
      </c>
      <c r="C28" s="192">
        <f t="shared" si="0"/>
        <v>32.3</v>
      </c>
      <c r="D28" s="192">
        <f t="shared" si="0"/>
        <v>31.9</v>
      </c>
      <c r="E28" s="192">
        <f t="shared" si="0"/>
        <v>25.2</v>
      </c>
      <c r="F28" s="192">
        <f t="shared" si="0"/>
        <v>28</v>
      </c>
      <c r="G28" s="192">
        <f t="shared" si="0"/>
        <v>11</v>
      </c>
      <c r="H28" s="193">
        <f t="shared" si="0"/>
        <v>4.2</v>
      </c>
    </row>
    <row r="29" spans="1:8" ht="12.75">
      <c r="A29" s="194" t="s">
        <v>240</v>
      </c>
      <c r="B29" s="195">
        <f aca="true" t="shared" si="1" ref="B29:H29">MIN(B4:B23)</f>
        <v>2.2</v>
      </c>
      <c r="C29" s="196">
        <f t="shared" si="1"/>
        <v>14.7</v>
      </c>
      <c r="D29" s="196">
        <f t="shared" si="1"/>
        <v>20.1</v>
      </c>
      <c r="E29" s="196">
        <f t="shared" si="1"/>
        <v>17.3</v>
      </c>
      <c r="F29" s="196">
        <f t="shared" si="1"/>
        <v>13.8</v>
      </c>
      <c r="G29" s="196">
        <f t="shared" si="1"/>
        <v>2.3</v>
      </c>
      <c r="H29" s="197">
        <f t="shared" si="1"/>
        <v>0.3</v>
      </c>
    </row>
    <row r="30" spans="1:8" ht="13.5" thickBot="1">
      <c r="A30" s="198" t="s">
        <v>241</v>
      </c>
      <c r="B30" s="199">
        <f aca="true" t="shared" si="2" ref="B30:H30">AVERAGE(B4:B23)</f>
        <v>2.6599999999999997</v>
      </c>
      <c r="C30" s="200">
        <f t="shared" si="2"/>
        <v>22.970000000000002</v>
      </c>
      <c r="D30" s="200">
        <f t="shared" si="2"/>
        <v>26.314999999999998</v>
      </c>
      <c r="E30" s="200">
        <f t="shared" si="2"/>
        <v>21.845</v>
      </c>
      <c r="F30" s="200">
        <f t="shared" si="2"/>
        <v>21.04</v>
      </c>
      <c r="G30" s="200">
        <f t="shared" si="2"/>
        <v>6.075</v>
      </c>
      <c r="H30" s="201">
        <f t="shared" si="2"/>
        <v>1.775</v>
      </c>
    </row>
    <row r="31" spans="1:8" ht="22.5">
      <c r="A31" s="202" t="s">
        <v>242</v>
      </c>
      <c r="B31" s="203">
        <f>COUNTIF($B$4:$B$23,"&gt;2,7")</f>
        <v>7</v>
      </c>
      <c r="C31" s="203">
        <f>COUNTIF($C$4:$C$23,"&gt;23")</f>
        <v>7</v>
      </c>
      <c r="D31" s="203">
        <f>COUNTIF($D$4:$D$23,"&gt;26,3")</f>
        <v>9</v>
      </c>
      <c r="E31" s="203">
        <f>COUNTIF($E$4:$E$23,"&gt;21,8")</f>
        <v>10</v>
      </c>
      <c r="F31" s="203">
        <f>COUNTIF($F$4:$F$23,"&gt;21")</f>
        <v>10</v>
      </c>
      <c r="G31" s="203">
        <f>COUNTIF($G$4:$G$23,"&gt;6,1")</f>
        <v>8</v>
      </c>
      <c r="H31" s="203">
        <f>COUNTIF($H$4:$H$23,"&gt;1,8")</f>
        <v>10</v>
      </c>
    </row>
    <row r="32" spans="1:8" ht="22.5">
      <c r="A32" s="204" t="s">
        <v>243</v>
      </c>
      <c r="B32" s="29">
        <f>COUNTIF($B$4:$B$23,"&lt;2,7")</f>
        <v>10</v>
      </c>
      <c r="C32" s="29">
        <f>COUNTIF($C$4:$C$23,"&lt;23")</f>
        <v>13</v>
      </c>
      <c r="D32" s="29">
        <f>COUNTIF($D$4:$D$23,"&lt;26,3")</f>
        <v>10</v>
      </c>
      <c r="E32" s="29">
        <f>COUNTIF($E$4:$E$23,"&lt;21,8")</f>
        <v>8</v>
      </c>
      <c r="F32" s="29">
        <f>COUNTIF($F$4:$F$23,"&lt;21")</f>
        <v>9</v>
      </c>
      <c r="G32" s="29">
        <f>COUNTIF($G$4:$G$23,"&lt;6,1")</f>
        <v>12</v>
      </c>
      <c r="H32" s="29">
        <f>COUNTIF($H$4:$H$23,"&lt;1,8")</f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2" sqref="A2"/>
    </sheetView>
  </sheetViews>
  <sheetFormatPr defaultColWidth="9.140625" defaultRowHeight="12.75"/>
  <cols>
    <col min="1" max="1" width="9.57421875" style="0" customWidth="1"/>
    <col min="2" max="2" width="8.00390625" style="0" customWidth="1"/>
    <col min="3" max="4" width="6.8515625" style="0" bestFit="1" customWidth="1"/>
    <col min="5" max="5" width="8.140625" style="0" customWidth="1"/>
    <col min="6" max="6" width="8.57421875" style="0" bestFit="1" customWidth="1"/>
    <col min="7" max="7" width="8.28125" style="0" customWidth="1"/>
    <col min="8" max="8" width="7.421875" style="0" customWidth="1"/>
    <col min="9" max="9" width="6.8515625" style="0" bestFit="1" customWidth="1"/>
    <col min="10" max="10" width="7.00390625" style="0" bestFit="1" customWidth="1"/>
    <col min="11" max="11" width="7.57421875" style="0" customWidth="1"/>
    <col min="12" max="12" width="8.57421875" style="0" bestFit="1" customWidth="1"/>
    <col min="13" max="13" width="9.421875" style="0" bestFit="1" customWidth="1"/>
    <col min="14" max="14" width="12.8515625" style="0" customWidth="1"/>
  </cols>
  <sheetData>
    <row r="1" ht="13.5" thickBot="1">
      <c r="A1" s="205" t="s">
        <v>193</v>
      </c>
    </row>
    <row r="2" spans="1:14" ht="13.5" thickBot="1">
      <c r="A2" s="205"/>
      <c r="B2" s="206"/>
      <c r="C2" s="207"/>
      <c r="D2" s="207"/>
      <c r="E2" s="207"/>
      <c r="F2" s="208" t="s">
        <v>194</v>
      </c>
      <c r="G2" s="208"/>
      <c r="H2" s="207"/>
      <c r="I2" s="207"/>
      <c r="J2" s="207"/>
      <c r="K2" s="207"/>
      <c r="L2" s="207"/>
      <c r="M2" s="207"/>
      <c r="N2" s="209" t="s">
        <v>195</v>
      </c>
    </row>
    <row r="3" spans="1:14" ht="12.75">
      <c r="A3" s="341"/>
      <c r="B3" s="114"/>
      <c r="C3" s="115"/>
      <c r="D3" s="115"/>
      <c r="E3" s="116" t="s">
        <v>152</v>
      </c>
      <c r="F3" s="116"/>
      <c r="G3" s="210"/>
      <c r="H3" s="114"/>
      <c r="I3" s="115"/>
      <c r="J3" s="115"/>
      <c r="K3" s="116" t="s">
        <v>152</v>
      </c>
      <c r="L3" s="116"/>
      <c r="M3" s="211"/>
      <c r="N3" s="212" t="s">
        <v>196</v>
      </c>
    </row>
    <row r="4" spans="1:14" ht="12.75">
      <c r="A4" s="342"/>
      <c r="B4" s="125" t="s">
        <v>197</v>
      </c>
      <c r="C4" s="126" t="s">
        <v>198</v>
      </c>
      <c r="D4" s="126" t="s">
        <v>199</v>
      </c>
      <c r="E4" s="126" t="s">
        <v>200</v>
      </c>
      <c r="F4" s="128" t="s">
        <v>156</v>
      </c>
      <c r="G4" s="213" t="s">
        <v>141</v>
      </c>
      <c r="H4" s="214" t="s">
        <v>197</v>
      </c>
      <c r="I4" s="215" t="s">
        <v>198</v>
      </c>
      <c r="J4" s="215" t="s">
        <v>199</v>
      </c>
      <c r="K4" s="215" t="s">
        <v>200</v>
      </c>
      <c r="L4" s="216" t="s">
        <v>156</v>
      </c>
      <c r="M4" s="217" t="s">
        <v>141</v>
      </c>
      <c r="N4" s="218" t="s">
        <v>201</v>
      </c>
    </row>
    <row r="5" spans="1:14" ht="12.75">
      <c r="A5" s="219"/>
      <c r="B5" s="131"/>
      <c r="C5" s="132"/>
      <c r="D5" s="132"/>
      <c r="E5" s="133" t="s">
        <v>163</v>
      </c>
      <c r="F5" s="132"/>
      <c r="G5" s="220"/>
      <c r="H5" s="221"/>
      <c r="I5" s="135"/>
      <c r="J5" s="135"/>
      <c r="K5" s="136" t="s">
        <v>162</v>
      </c>
      <c r="L5" s="135"/>
      <c r="M5" s="222"/>
      <c r="N5" s="223"/>
    </row>
    <row r="6" spans="1:15" ht="12.75">
      <c r="A6" s="219"/>
      <c r="B6" s="131"/>
      <c r="C6" s="132"/>
      <c r="D6" s="132"/>
      <c r="E6" s="132" t="s">
        <v>202</v>
      </c>
      <c r="F6" s="132"/>
      <c r="G6" s="220"/>
      <c r="H6" s="221"/>
      <c r="I6" s="135"/>
      <c r="J6" s="135"/>
      <c r="K6" s="132" t="s">
        <v>202</v>
      </c>
      <c r="L6" s="132"/>
      <c r="M6" s="220"/>
      <c r="N6" s="224"/>
      <c r="O6" s="13"/>
    </row>
    <row r="7" spans="1:14" ht="12.75">
      <c r="A7" s="225" t="s">
        <v>153</v>
      </c>
      <c r="B7" s="140">
        <v>44.9</v>
      </c>
      <c r="C7" s="141">
        <v>46.9</v>
      </c>
      <c r="D7" s="141">
        <v>38</v>
      </c>
      <c r="E7" s="141">
        <v>26.6</v>
      </c>
      <c r="F7" s="141">
        <v>11.6</v>
      </c>
      <c r="G7" s="226">
        <f>AVERAGE(B7:F7)</f>
        <v>33.6</v>
      </c>
      <c r="H7" s="227">
        <v>72.8</v>
      </c>
      <c r="I7" s="228">
        <v>76.7</v>
      </c>
      <c r="J7" s="228">
        <v>65.5</v>
      </c>
      <c r="K7" s="141">
        <v>54.1</v>
      </c>
      <c r="L7" s="141">
        <v>31.7</v>
      </c>
      <c r="M7" s="229">
        <f>AVERAGE(H7:L7)</f>
        <v>60.160000000000004</v>
      </c>
      <c r="N7" s="230">
        <f>(M7-G7)/G7</f>
        <v>0.7904761904761906</v>
      </c>
    </row>
    <row r="8" spans="1:14" ht="12.75">
      <c r="A8" s="231" t="s">
        <v>155</v>
      </c>
      <c r="B8" s="140">
        <v>48.2</v>
      </c>
      <c r="C8" s="141">
        <v>46</v>
      </c>
      <c r="D8" s="141">
        <v>38.7</v>
      </c>
      <c r="E8" s="141">
        <v>27.9</v>
      </c>
      <c r="F8" s="141">
        <v>15.1</v>
      </c>
      <c r="G8" s="226">
        <f>AVERAGE(B8:F8)</f>
        <v>35.18</v>
      </c>
      <c r="H8" s="140">
        <v>67.6</v>
      </c>
      <c r="I8" s="141">
        <v>71.1</v>
      </c>
      <c r="J8" s="141">
        <v>60.6</v>
      </c>
      <c r="K8" s="141">
        <v>56.9</v>
      </c>
      <c r="L8" s="141">
        <v>38.6</v>
      </c>
      <c r="M8" s="229">
        <f>AVERAGE(H8:L8)</f>
        <v>58.96</v>
      </c>
      <c r="N8" s="232">
        <f>(M8-G8)/G8</f>
        <v>0.6759522455940876</v>
      </c>
    </row>
    <row r="9" spans="1:14" ht="12.75">
      <c r="A9" s="231" t="s">
        <v>154</v>
      </c>
      <c r="B9" s="140">
        <v>44.6</v>
      </c>
      <c r="C9" s="141">
        <v>44.3</v>
      </c>
      <c r="D9" s="141">
        <v>37.6</v>
      </c>
      <c r="E9" s="141">
        <v>26.3</v>
      </c>
      <c r="F9" s="141">
        <v>12.7</v>
      </c>
      <c r="G9" s="226">
        <f>AVERAGE(B9:F9)</f>
        <v>33.1</v>
      </c>
      <c r="H9" s="140">
        <v>70.2</v>
      </c>
      <c r="I9" s="141">
        <v>75.2</v>
      </c>
      <c r="J9" s="141">
        <v>71.8</v>
      </c>
      <c r="K9" s="141">
        <v>63.2</v>
      </c>
      <c r="L9" s="141">
        <v>36.2</v>
      </c>
      <c r="M9" s="229">
        <f>AVERAGE(H9:L9)</f>
        <v>63.31999999999999</v>
      </c>
      <c r="N9" s="232">
        <f>(M9-G9)/G9</f>
        <v>0.9129909365558909</v>
      </c>
    </row>
    <row r="10" spans="1:14" ht="13.5" thickBot="1">
      <c r="A10" s="233" t="s">
        <v>203</v>
      </c>
      <c r="B10" s="234">
        <f>AVERAGE(B7:B9)</f>
        <v>45.9</v>
      </c>
      <c r="C10" s="235">
        <f>AVERAGE(C7:C9)</f>
        <v>45.73333333333333</v>
      </c>
      <c r="D10" s="235">
        <f>AVERAGE(D7:D9)</f>
        <v>38.1</v>
      </c>
      <c r="E10" s="235">
        <f>AVERAGE(E7:E9)</f>
        <v>26.933333333333334</v>
      </c>
      <c r="F10" s="235">
        <f>AVERAGE(F7:F9)</f>
        <v>13.133333333333333</v>
      </c>
      <c r="G10" s="236">
        <f>AVERAGE(B10:F10)</f>
        <v>33.959999999999994</v>
      </c>
      <c r="H10" s="234">
        <f>AVERAGE(H7:H9)</f>
        <v>70.19999999999999</v>
      </c>
      <c r="I10" s="235">
        <f>AVERAGE(I7:I9)</f>
        <v>74.33333333333333</v>
      </c>
      <c r="J10" s="235">
        <f>AVERAGE(J7:J9)</f>
        <v>65.96666666666665</v>
      </c>
      <c r="K10" s="237">
        <f>AVERAGE(K7:K9)</f>
        <v>58.06666666666666</v>
      </c>
      <c r="L10" s="237">
        <f>AVERAGE(L7:L9)</f>
        <v>35.5</v>
      </c>
      <c r="M10" s="238">
        <f>AVERAGE(H10:L10)</f>
        <v>60.81333333333332</v>
      </c>
      <c r="N10" s="232">
        <f>(M10-G10)/G10</f>
        <v>0.790734197094621</v>
      </c>
    </row>
    <row r="11" spans="1:13" ht="13.5" thickBot="1">
      <c r="A11" s="3"/>
      <c r="B11" s="207"/>
      <c r="C11" s="207"/>
      <c r="D11" s="207"/>
      <c r="E11" s="207"/>
      <c r="F11" s="208" t="s">
        <v>204</v>
      </c>
      <c r="G11" s="208"/>
      <c r="H11" s="207"/>
      <c r="I11" s="207"/>
      <c r="J11" s="207"/>
      <c r="K11" s="207"/>
      <c r="L11" s="207"/>
      <c r="M11" s="120"/>
    </row>
    <row r="12" spans="1:13" ht="12.75">
      <c r="A12" s="3"/>
      <c r="B12" s="239" t="s">
        <v>197</v>
      </c>
      <c r="C12" s="240" t="s">
        <v>198</v>
      </c>
      <c r="D12" s="240" t="s">
        <v>199</v>
      </c>
      <c r="E12" s="240" t="s">
        <v>200</v>
      </c>
      <c r="F12" s="129" t="s">
        <v>156</v>
      </c>
      <c r="G12" s="241"/>
      <c r="H12" s="214" t="s">
        <v>197</v>
      </c>
      <c r="I12" s="215" t="s">
        <v>198</v>
      </c>
      <c r="J12" s="215" t="s">
        <v>199</v>
      </c>
      <c r="K12" s="215" t="s">
        <v>200</v>
      </c>
      <c r="L12" s="216" t="s">
        <v>156</v>
      </c>
      <c r="M12" s="217"/>
    </row>
    <row r="13" spans="1:13" ht="12.75">
      <c r="A13" s="3"/>
      <c r="B13" s="131"/>
      <c r="C13" s="132"/>
      <c r="D13" s="132"/>
      <c r="E13" s="133" t="s">
        <v>163</v>
      </c>
      <c r="F13" s="132"/>
      <c r="G13" s="220"/>
      <c r="H13" s="221"/>
      <c r="I13" s="135"/>
      <c r="J13" s="135"/>
      <c r="K13" s="136" t="s">
        <v>162</v>
      </c>
      <c r="L13" s="135"/>
      <c r="M13" s="222"/>
    </row>
    <row r="14" spans="1:13" ht="12.75">
      <c r="A14" s="3"/>
      <c r="B14" s="131"/>
      <c r="C14" s="132"/>
      <c r="D14" s="132"/>
      <c r="E14" s="132" t="s">
        <v>202</v>
      </c>
      <c r="F14" s="132"/>
      <c r="G14" s="242" t="s">
        <v>141</v>
      </c>
      <c r="H14" s="221"/>
      <c r="I14" s="135"/>
      <c r="J14" s="135"/>
      <c r="K14" s="132" t="s">
        <v>202</v>
      </c>
      <c r="L14" s="132"/>
      <c r="M14" s="242" t="s">
        <v>141</v>
      </c>
    </row>
    <row r="15" spans="1:14" ht="12.75">
      <c r="A15" s="225" t="s">
        <v>153</v>
      </c>
      <c r="B15" s="140">
        <v>38.6</v>
      </c>
      <c r="C15" s="141">
        <v>50.7</v>
      </c>
      <c r="D15" s="141">
        <v>57.9</v>
      </c>
      <c r="E15" s="141">
        <v>54.3</v>
      </c>
      <c r="F15" s="141">
        <v>53.1</v>
      </c>
      <c r="G15" s="226">
        <f>AVERAGE(B15:F15)</f>
        <v>50.92</v>
      </c>
      <c r="H15" s="227">
        <v>59.4</v>
      </c>
      <c r="I15" s="228">
        <v>78.4</v>
      </c>
      <c r="J15" s="228">
        <v>81.3</v>
      </c>
      <c r="K15" s="141">
        <v>82</v>
      </c>
      <c r="L15" s="141">
        <v>77.8</v>
      </c>
      <c r="M15" s="229">
        <f>AVERAGE(H15:L15)</f>
        <v>75.78</v>
      </c>
      <c r="N15" s="243">
        <f>(M15-G15)/G15</f>
        <v>0.48821681068342493</v>
      </c>
    </row>
    <row r="16" spans="1:14" ht="12.75">
      <c r="A16" s="231" t="s">
        <v>155</v>
      </c>
      <c r="B16" s="140">
        <v>41.3</v>
      </c>
      <c r="C16" s="141">
        <v>51.3</v>
      </c>
      <c r="D16" s="141">
        <v>56.1</v>
      </c>
      <c r="E16" s="141">
        <v>51.8</v>
      </c>
      <c r="F16" s="141">
        <v>49.2</v>
      </c>
      <c r="G16" s="226">
        <f>AVERAGE(B16:F16)</f>
        <v>49.94</v>
      </c>
      <c r="H16" s="140">
        <v>58</v>
      </c>
      <c r="I16" s="141">
        <v>77.1</v>
      </c>
      <c r="J16" s="141">
        <v>77.2</v>
      </c>
      <c r="K16" s="141">
        <v>83.3</v>
      </c>
      <c r="L16" s="141">
        <v>80.3</v>
      </c>
      <c r="M16" s="229">
        <f>AVERAGE(H16:L16)</f>
        <v>75.18</v>
      </c>
      <c r="N16" s="243">
        <f>(M16-G16)/G16</f>
        <v>0.5054064877853426</v>
      </c>
    </row>
    <row r="17" spans="1:14" ht="12.75">
      <c r="A17" s="244" t="s">
        <v>154</v>
      </c>
      <c r="B17" s="140">
        <v>30.7</v>
      </c>
      <c r="C17" s="141">
        <v>40.7</v>
      </c>
      <c r="D17" s="141">
        <v>47.4</v>
      </c>
      <c r="E17" s="141">
        <v>43.3</v>
      </c>
      <c r="F17" s="141">
        <v>33.7</v>
      </c>
      <c r="G17" s="226">
        <f>AVERAGE(B17:F17)</f>
        <v>39.160000000000004</v>
      </c>
      <c r="H17" s="140">
        <v>52.2</v>
      </c>
      <c r="I17" s="141">
        <v>75.4</v>
      </c>
      <c r="J17" s="141">
        <v>81</v>
      </c>
      <c r="K17" s="141">
        <v>80.9</v>
      </c>
      <c r="L17" s="141">
        <v>69.2</v>
      </c>
      <c r="M17" s="229">
        <f>AVERAGE(H17:L17)</f>
        <v>71.74</v>
      </c>
      <c r="N17" s="243">
        <f>(M17-G17)/G17</f>
        <v>0.8319713993871294</v>
      </c>
    </row>
    <row r="18" spans="1:14" ht="13.5" thickBot="1">
      <c r="A18" s="233" t="s">
        <v>203</v>
      </c>
      <c r="B18" s="234">
        <f>AVERAGE(B15:B17)</f>
        <v>36.86666666666667</v>
      </c>
      <c r="C18" s="235">
        <f>AVERAGE(C15:C17)</f>
        <v>47.56666666666666</v>
      </c>
      <c r="D18" s="235">
        <f>AVERAGE(D15:D17)</f>
        <v>53.800000000000004</v>
      </c>
      <c r="E18" s="235">
        <f>AVERAGE(E15:E17)</f>
        <v>49.79999999999999</v>
      </c>
      <c r="F18" s="235">
        <f>AVERAGE(F15:F17)</f>
        <v>45.333333333333336</v>
      </c>
      <c r="G18" s="236">
        <f>AVERAGE(B18:F18)</f>
        <v>46.67333333333333</v>
      </c>
      <c r="H18" s="234">
        <f>AVERAGE(H15:H17)</f>
        <v>56.53333333333334</v>
      </c>
      <c r="I18" s="235">
        <f>AVERAGE(I15:I17)</f>
        <v>76.96666666666667</v>
      </c>
      <c r="J18" s="235">
        <f>AVERAGE(J15:J17)</f>
        <v>79.83333333333333</v>
      </c>
      <c r="K18" s="235">
        <f>AVERAGE(K15:K17)</f>
        <v>82.06666666666668</v>
      </c>
      <c r="L18" s="235">
        <f>AVERAGE(L15:L17)</f>
        <v>75.76666666666667</v>
      </c>
      <c r="M18" s="236">
        <f>AVERAGE(H18:L18)</f>
        <v>74.23333333333332</v>
      </c>
      <c r="N18" s="243">
        <f>(M18-G18)/G18</f>
        <v>0.5904870732752462</v>
      </c>
    </row>
    <row r="19" spans="1:12" s="13" customFormat="1" ht="6" customHeight="1">
      <c r="A19" s="3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1:13" ht="22.5">
      <c r="A20" s="245" t="s">
        <v>205</v>
      </c>
      <c r="B20" s="104" t="str">
        <f aca="true" t="shared" si="0" ref="B20:F23">IF(B7&gt;B15,"birra","vino")</f>
        <v>birra</v>
      </c>
      <c r="C20" s="104" t="str">
        <f t="shared" si="0"/>
        <v>vino</v>
      </c>
      <c r="D20" s="104" t="str">
        <f t="shared" si="0"/>
        <v>vino</v>
      </c>
      <c r="E20" s="104" t="str">
        <f t="shared" si="0"/>
        <v>vino</v>
      </c>
      <c r="F20" s="104" t="str">
        <f t="shared" si="0"/>
        <v>vino</v>
      </c>
      <c r="G20" s="175"/>
      <c r="H20" s="104" t="str">
        <f aca="true" t="shared" si="1" ref="H20:M23">IF(H7&gt;H15,"birra","vino")</f>
        <v>birra</v>
      </c>
      <c r="I20" s="104" t="str">
        <f t="shared" si="1"/>
        <v>vino</v>
      </c>
      <c r="J20" s="104" t="str">
        <f t="shared" si="1"/>
        <v>vino</v>
      </c>
      <c r="K20" s="104" t="str">
        <f t="shared" si="1"/>
        <v>vino</v>
      </c>
      <c r="L20" s="104" t="str">
        <f t="shared" si="1"/>
        <v>vino</v>
      </c>
      <c r="M20" s="104" t="str">
        <f t="shared" si="1"/>
        <v>vino</v>
      </c>
    </row>
    <row r="21" spans="1:13" ht="22.5">
      <c r="A21" s="246" t="s">
        <v>206</v>
      </c>
      <c r="B21" s="104" t="str">
        <f t="shared" si="0"/>
        <v>birra</v>
      </c>
      <c r="C21" s="104" t="str">
        <f t="shared" si="0"/>
        <v>vino</v>
      </c>
      <c r="D21" s="104" t="str">
        <f t="shared" si="0"/>
        <v>vino</v>
      </c>
      <c r="E21" s="104" t="str">
        <f t="shared" si="0"/>
        <v>vino</v>
      </c>
      <c r="F21" s="104" t="str">
        <f t="shared" si="0"/>
        <v>vino</v>
      </c>
      <c r="G21" s="175"/>
      <c r="H21" s="104" t="str">
        <f t="shared" si="1"/>
        <v>birra</v>
      </c>
      <c r="I21" s="104" t="str">
        <f t="shared" si="1"/>
        <v>vino</v>
      </c>
      <c r="J21" s="104" t="str">
        <f t="shared" si="1"/>
        <v>vino</v>
      </c>
      <c r="K21" s="104" t="str">
        <f t="shared" si="1"/>
        <v>vino</v>
      </c>
      <c r="L21" s="104" t="str">
        <f t="shared" si="1"/>
        <v>vino</v>
      </c>
      <c r="M21" s="104" t="str">
        <f t="shared" si="1"/>
        <v>vino</v>
      </c>
    </row>
    <row r="22" spans="1:13" ht="22.5">
      <c r="A22" s="246" t="s">
        <v>207</v>
      </c>
      <c r="B22" s="104" t="str">
        <f t="shared" si="0"/>
        <v>birra</v>
      </c>
      <c r="C22" s="104" t="str">
        <f t="shared" si="0"/>
        <v>birra</v>
      </c>
      <c r="D22" s="104" t="str">
        <f t="shared" si="0"/>
        <v>vino</v>
      </c>
      <c r="E22" s="104" t="str">
        <f t="shared" si="0"/>
        <v>vino</v>
      </c>
      <c r="F22" s="104" t="str">
        <f t="shared" si="0"/>
        <v>vino</v>
      </c>
      <c r="G22" s="175"/>
      <c r="H22" s="104" t="str">
        <f t="shared" si="1"/>
        <v>birra</v>
      </c>
      <c r="I22" s="104" t="str">
        <f t="shared" si="1"/>
        <v>vino</v>
      </c>
      <c r="J22" s="104" t="str">
        <f t="shared" si="1"/>
        <v>vino</v>
      </c>
      <c r="K22" s="104" t="str">
        <f t="shared" si="1"/>
        <v>vino</v>
      </c>
      <c r="L22" s="104" t="str">
        <f t="shared" si="1"/>
        <v>vino</v>
      </c>
      <c r="M22" s="104" t="str">
        <f t="shared" si="1"/>
        <v>vino</v>
      </c>
    </row>
    <row r="23" spans="1:13" ht="22.5">
      <c r="A23" s="246" t="s">
        <v>208</v>
      </c>
      <c r="B23" s="104" t="str">
        <f t="shared" si="0"/>
        <v>birra</v>
      </c>
      <c r="C23" s="104" t="str">
        <f t="shared" si="0"/>
        <v>vino</v>
      </c>
      <c r="D23" s="104" t="str">
        <f t="shared" si="0"/>
        <v>vino</v>
      </c>
      <c r="E23" s="104" t="str">
        <f t="shared" si="0"/>
        <v>vino</v>
      </c>
      <c r="F23" s="104" t="str">
        <f t="shared" si="0"/>
        <v>vino</v>
      </c>
      <c r="G23" s="175"/>
      <c r="H23" s="104" t="str">
        <f t="shared" si="1"/>
        <v>birra</v>
      </c>
      <c r="I23" s="104" t="str">
        <f t="shared" si="1"/>
        <v>vino</v>
      </c>
      <c r="J23" s="104" t="str">
        <f t="shared" si="1"/>
        <v>vino</v>
      </c>
      <c r="K23" s="104" t="str">
        <f t="shared" si="1"/>
        <v>vino</v>
      </c>
      <c r="L23" s="104" t="str">
        <f t="shared" si="1"/>
        <v>vino</v>
      </c>
      <c r="M23" s="104" t="str">
        <f t="shared" si="1"/>
        <v>vino</v>
      </c>
    </row>
    <row r="24" spans="1:7" ht="12.75">
      <c r="A24" s="165"/>
      <c r="B24" s="166"/>
      <c r="C24" s="166"/>
      <c r="D24" s="166"/>
      <c r="E24" s="166"/>
      <c r="F24" s="166"/>
      <c r="G24" s="166"/>
    </row>
    <row r="25" spans="2:8" ht="12.75">
      <c r="B25" s="167"/>
      <c r="C25" s="166"/>
      <c r="D25" s="166"/>
      <c r="E25" s="166"/>
      <c r="H25" s="167"/>
    </row>
  </sheetData>
  <mergeCells count="1"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23" sqref="B23"/>
    </sheetView>
  </sheetViews>
  <sheetFormatPr defaultColWidth="9.140625" defaultRowHeight="12.75"/>
  <cols>
    <col min="1" max="1" width="13.421875" style="0" customWidth="1"/>
    <col min="2" max="2" width="14.00390625" style="0" customWidth="1"/>
    <col min="4" max="4" width="11.57421875" style="0" customWidth="1"/>
    <col min="5" max="5" width="12.00390625" style="0" customWidth="1"/>
  </cols>
  <sheetData>
    <row r="1" ht="12.75">
      <c r="A1" s="4" t="s">
        <v>315</v>
      </c>
    </row>
    <row r="2" ht="12.75">
      <c r="A2" t="s">
        <v>316</v>
      </c>
    </row>
    <row r="4" spans="1:6" ht="12.75">
      <c r="A4" s="311"/>
      <c r="B4" s="312" t="s">
        <v>294</v>
      </c>
      <c r="C4" s="313"/>
      <c r="D4" s="313"/>
      <c r="E4" s="314"/>
      <c r="F4" s="315"/>
    </row>
    <row r="5" spans="1:6" ht="33.75">
      <c r="A5" s="123" t="s">
        <v>295</v>
      </c>
      <c r="B5" s="247" t="s">
        <v>296</v>
      </c>
      <c r="C5" s="247" t="s">
        <v>297</v>
      </c>
      <c r="D5" s="247" t="s">
        <v>298</v>
      </c>
      <c r="E5" s="247" t="s">
        <v>299</v>
      </c>
      <c r="F5" s="315"/>
    </row>
    <row r="6" spans="1:5" ht="12.75">
      <c r="A6" s="316" t="s">
        <v>300</v>
      </c>
      <c r="B6" s="317">
        <v>1537640</v>
      </c>
      <c r="C6" s="318">
        <f>B6/B$17</f>
        <v>0.07261098209701351</v>
      </c>
      <c r="D6" s="319">
        <v>14979</v>
      </c>
      <c r="E6" s="320">
        <f>D6*1000000/B6</f>
        <v>9741.551988762</v>
      </c>
    </row>
    <row r="7" spans="1:5" ht="12.75">
      <c r="A7" s="316" t="s">
        <v>301</v>
      </c>
      <c r="B7" s="317">
        <v>1615417</v>
      </c>
      <c r="C7" s="318">
        <f aca="true" t="shared" si="0" ref="C7:C20">B7/B$17</f>
        <v>0.0762837952096793</v>
      </c>
      <c r="D7" s="319">
        <v>16814</v>
      </c>
      <c r="E7" s="320">
        <f aca="true" t="shared" si="1" ref="E7:E17">D7*1000000/B7</f>
        <v>10408.458001865773</v>
      </c>
    </row>
    <row r="8" spans="1:5" ht="12.75">
      <c r="A8" s="316" t="s">
        <v>302</v>
      </c>
      <c r="B8" s="317">
        <v>770527</v>
      </c>
      <c r="C8" s="318">
        <f t="shared" si="0"/>
        <v>0.03638609960866362</v>
      </c>
      <c r="D8" s="319">
        <v>7743</v>
      </c>
      <c r="E8" s="320">
        <f t="shared" si="1"/>
        <v>10048.966486573476</v>
      </c>
    </row>
    <row r="9" spans="1:5" ht="12.75">
      <c r="A9" s="316" t="s">
        <v>303</v>
      </c>
      <c r="B9" s="317">
        <v>530349</v>
      </c>
      <c r="C9" s="318">
        <f t="shared" si="0"/>
        <v>0.02504432880529189</v>
      </c>
      <c r="D9" s="319">
        <v>5032</v>
      </c>
      <c r="E9" s="320">
        <f t="shared" si="1"/>
        <v>9488.091803699073</v>
      </c>
    </row>
    <row r="10" spans="1:5" ht="12.75">
      <c r="A10" s="316" t="s">
        <v>304</v>
      </c>
      <c r="B10" s="317">
        <v>654021</v>
      </c>
      <c r="C10" s="318">
        <f t="shared" si="0"/>
        <v>0.0308844119053035</v>
      </c>
      <c r="D10" s="319">
        <v>4563</v>
      </c>
      <c r="E10" s="320">
        <f t="shared" si="1"/>
        <v>6976.8401932048055</v>
      </c>
    </row>
    <row r="11" spans="1:5" ht="12.75">
      <c r="A11" s="316" t="s">
        <v>305</v>
      </c>
      <c r="B11" s="317">
        <v>350476</v>
      </c>
      <c r="C11" s="318">
        <f t="shared" si="0"/>
        <v>0.016550302126266816</v>
      </c>
      <c r="D11" s="319">
        <v>3580</v>
      </c>
      <c r="E11" s="320">
        <f t="shared" si="1"/>
        <v>10214.67946449971</v>
      </c>
    </row>
    <row r="12" spans="1:5" ht="12.75">
      <c r="A12" s="316" t="s">
        <v>306</v>
      </c>
      <c r="B12" s="317">
        <v>671018</v>
      </c>
      <c r="C12" s="318">
        <f t="shared" si="0"/>
        <v>0.0316870502749498</v>
      </c>
      <c r="D12" s="319">
        <v>6969</v>
      </c>
      <c r="E12" s="320">
        <f t="shared" si="1"/>
        <v>10385.712454807472</v>
      </c>
    </row>
    <row r="13" spans="1:5" ht="12.75">
      <c r="A13" s="316" t="s">
        <v>307</v>
      </c>
      <c r="B13" s="317">
        <v>12246781</v>
      </c>
      <c r="C13" s="318">
        <f t="shared" si="0"/>
        <v>0.5783218412222921</v>
      </c>
      <c r="D13" s="319">
        <v>125875</v>
      </c>
      <c r="E13" s="320">
        <f t="shared" si="1"/>
        <v>10278.21106623855</v>
      </c>
    </row>
    <row r="14" spans="1:5" ht="12.75">
      <c r="A14" s="316" t="s">
        <v>308</v>
      </c>
      <c r="B14" s="317">
        <v>883235</v>
      </c>
      <c r="C14" s="318">
        <f t="shared" si="0"/>
        <v>0.04170843680735135</v>
      </c>
      <c r="D14" s="319">
        <v>8629</v>
      </c>
      <c r="E14" s="320">
        <f t="shared" si="1"/>
        <v>9769.766823099175</v>
      </c>
    </row>
    <row r="15" spans="1:5" ht="12.75">
      <c r="A15" s="316" t="s">
        <v>309</v>
      </c>
      <c r="B15" s="317">
        <v>339596</v>
      </c>
      <c r="C15" s="318">
        <f t="shared" si="0"/>
        <v>0.01603652290277139</v>
      </c>
      <c r="D15" s="319">
        <v>3405</v>
      </c>
      <c r="E15" s="320">
        <f t="shared" si="1"/>
        <v>10026.619865958373</v>
      </c>
    </row>
    <row r="16" spans="1:5" ht="12.75">
      <c r="A16" s="316" t="s">
        <v>310</v>
      </c>
      <c r="B16" s="317">
        <v>1577351</v>
      </c>
      <c r="C16" s="318">
        <f t="shared" si="0"/>
        <v>0.07448622904041671</v>
      </c>
      <c r="D16" s="321">
        <v>15170</v>
      </c>
      <c r="E16" s="320">
        <f t="shared" si="1"/>
        <v>9617.390168706901</v>
      </c>
    </row>
    <row r="17" spans="1:5" ht="13.5" thickBot="1">
      <c r="A17" s="322" t="s">
        <v>192</v>
      </c>
      <c r="B17" s="323">
        <f>SUM(B6:B16)</f>
        <v>21176411</v>
      </c>
      <c r="C17" s="324">
        <f t="shared" si="0"/>
        <v>1</v>
      </c>
      <c r="D17" s="325">
        <f>SUM(D6:D16)</f>
        <v>212759</v>
      </c>
      <c r="E17" s="326">
        <f t="shared" si="1"/>
        <v>10046.981048866119</v>
      </c>
    </row>
    <row r="18" spans="1:6" ht="12.75">
      <c r="A18" s="327" t="s">
        <v>83</v>
      </c>
      <c r="B18" s="328">
        <f>MIN(B$6:B$16)</f>
        <v>339596</v>
      </c>
      <c r="C18" s="335"/>
      <c r="D18" s="329"/>
      <c r="E18" s="336">
        <f>MIN($E$6:$E$17)</f>
        <v>6976.8401932048055</v>
      </c>
      <c r="F18" s="330" t="s">
        <v>311</v>
      </c>
    </row>
    <row r="19" spans="1:6" ht="12.75">
      <c r="A19" s="327" t="s">
        <v>82</v>
      </c>
      <c r="B19" s="328">
        <f>MAX(B$6:B$16)</f>
        <v>12246781</v>
      </c>
      <c r="C19" s="335"/>
      <c r="D19" s="329"/>
      <c r="E19" s="337">
        <f>MAX($E$6:$E$17)</f>
        <v>10408.458001865773</v>
      </c>
      <c r="F19" s="331" t="s">
        <v>82</v>
      </c>
    </row>
    <row r="20" spans="1:6" ht="13.5" thickBot="1">
      <c r="A20" s="327" t="s">
        <v>84</v>
      </c>
      <c r="B20" s="328">
        <f>AVERAGE(B$6:B$16)</f>
        <v>1925128.2727272727</v>
      </c>
      <c r="C20" s="318">
        <f t="shared" si="0"/>
        <v>0.09090909090909091</v>
      </c>
      <c r="D20" s="329"/>
      <c r="E20" s="338">
        <f>AVERAGE($E$6:$E$17)</f>
        <v>9750.272447190118</v>
      </c>
      <c r="F20" s="332" t="s">
        <v>84</v>
      </c>
    </row>
    <row r="21" spans="1:6" ht="12.75">
      <c r="A21" s="327" t="s">
        <v>312</v>
      </c>
      <c r="B21" s="328">
        <f>COUNTA(A6:A16)</f>
        <v>11</v>
      </c>
      <c r="E21" s="333"/>
      <c r="F21" s="334"/>
    </row>
    <row r="22" spans="5:6" ht="12.75">
      <c r="E22" s="333"/>
      <c r="F22" s="334"/>
    </row>
    <row r="23" spans="1:6" ht="33.75">
      <c r="A23" s="247" t="s">
        <v>313</v>
      </c>
      <c r="B23" s="27">
        <f>COUNTIF(B6:B16,"&gt;1000000")</f>
        <v>4</v>
      </c>
      <c r="E23" s="333"/>
      <c r="F23" s="334"/>
    </row>
    <row r="24" spans="1:6" ht="33.75">
      <c r="A24" s="247" t="s">
        <v>314</v>
      </c>
      <c r="B24" s="27">
        <f>COUNTIF(B6:B16,"&lt;700000")</f>
        <v>5</v>
      </c>
      <c r="E24" s="333"/>
      <c r="F24" s="33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5" max="5" width="7.8515625" style="0" bestFit="1" customWidth="1"/>
    <col min="6" max="6" width="8.57421875" style="0" bestFit="1" customWidth="1"/>
    <col min="7" max="7" width="9.00390625" style="0" customWidth="1"/>
    <col min="8" max="8" width="9.421875" style="0" bestFit="1" customWidth="1"/>
    <col min="9" max="9" width="8.57421875" style="0" bestFit="1" customWidth="1"/>
    <col min="10" max="10" width="8.57421875" style="0" customWidth="1"/>
    <col min="11" max="11" width="9.57421875" style="0" customWidth="1"/>
    <col min="12" max="12" width="8.57421875" style="0" bestFit="1" customWidth="1"/>
    <col min="13" max="13" width="8.8515625" style="0" customWidth="1"/>
  </cols>
  <sheetData>
    <row r="1" ht="12.75">
      <c r="A1" s="4" t="s">
        <v>283</v>
      </c>
    </row>
    <row r="2" spans="2:14" ht="13.5" thickBot="1">
      <c r="B2" s="231"/>
      <c r="C2" s="248"/>
      <c r="D2" s="249"/>
      <c r="E2" s="248"/>
      <c r="F2" s="248"/>
      <c r="G2" s="248"/>
      <c r="H2" s="249" t="s">
        <v>162</v>
      </c>
      <c r="I2" s="250"/>
      <c r="J2" s="250"/>
      <c r="K2" s="250"/>
      <c r="L2" s="248"/>
      <c r="M2" s="248"/>
      <c r="N2" s="251"/>
    </row>
    <row r="3" spans="1:14" s="58" customFormat="1" ht="12">
      <c r="A3" s="50"/>
      <c r="B3" s="252"/>
      <c r="C3" s="170"/>
      <c r="D3" s="169" t="s">
        <v>284</v>
      </c>
      <c r="E3" s="171"/>
      <c r="F3" s="170"/>
      <c r="G3" s="253" t="s">
        <v>285</v>
      </c>
      <c r="H3" s="170"/>
      <c r="I3" s="254"/>
      <c r="J3" s="255" t="s">
        <v>286</v>
      </c>
      <c r="K3" s="256"/>
      <c r="L3" s="257"/>
      <c r="M3" s="253" t="s">
        <v>287</v>
      </c>
      <c r="N3" s="258"/>
    </row>
    <row r="4" spans="2:14" s="59" customFormat="1" ht="22.5">
      <c r="B4" s="66" t="s">
        <v>288</v>
      </c>
      <c r="C4" s="66" t="s">
        <v>289</v>
      </c>
      <c r="D4" s="66" t="s">
        <v>290</v>
      </c>
      <c r="E4" s="259" t="s">
        <v>291</v>
      </c>
      <c r="F4" s="66" t="s">
        <v>288</v>
      </c>
      <c r="G4" s="66" t="s">
        <v>289</v>
      </c>
      <c r="H4" s="260" t="s">
        <v>290</v>
      </c>
      <c r="I4" s="261" t="s">
        <v>288</v>
      </c>
      <c r="J4" s="262" t="s">
        <v>289</v>
      </c>
      <c r="K4" s="71" t="s">
        <v>290</v>
      </c>
      <c r="L4" s="263" t="s">
        <v>288</v>
      </c>
      <c r="M4" s="262" t="s">
        <v>289</v>
      </c>
      <c r="N4" s="262" t="s">
        <v>290</v>
      </c>
    </row>
    <row r="5" spans="1:17" s="81" customFormat="1" ht="12.75">
      <c r="A5" s="173" t="s">
        <v>292</v>
      </c>
      <c r="B5" s="174">
        <v>3.006775674108566</v>
      </c>
      <c r="C5" s="174">
        <v>46.11093776930277</v>
      </c>
      <c r="D5" s="174">
        <v>50.88228655658866</v>
      </c>
      <c r="E5" s="104">
        <f>SUM(B5:D5)</f>
        <v>100</v>
      </c>
      <c r="F5" s="174">
        <v>26.72900447962423</v>
      </c>
      <c r="G5" s="174">
        <v>77.82476662813531</v>
      </c>
      <c r="H5" s="264">
        <v>64.29478283217682</v>
      </c>
      <c r="I5" s="157">
        <f aca="true" t="shared" si="0" ref="I5:K9">((F5/100)*(B5/100))*100</f>
        <v>0.8036812046247301</v>
      </c>
      <c r="J5" s="104">
        <f t="shared" si="0"/>
        <v>35.885729709004586</v>
      </c>
      <c r="K5" s="159">
        <f t="shared" si="0"/>
        <v>32.71465564160459</v>
      </c>
      <c r="L5" s="265">
        <f aca="true" t="shared" si="1" ref="L5:N9">$E5-I5</f>
        <v>99.19631879537528</v>
      </c>
      <c r="M5" s="104">
        <f t="shared" si="1"/>
        <v>64.11427029099542</v>
      </c>
      <c r="N5" s="104">
        <f t="shared" si="1"/>
        <v>67.2853443583954</v>
      </c>
      <c r="P5" s="266"/>
      <c r="Q5" s="266"/>
    </row>
    <row r="6" spans="1:14" s="81" customFormat="1" ht="12.75">
      <c r="A6" s="173" t="s">
        <v>293</v>
      </c>
      <c r="B6" s="174">
        <v>5.876868736800182</v>
      </c>
      <c r="C6" s="174">
        <v>44.65343492266157</v>
      </c>
      <c r="D6" s="174">
        <v>49.46969634053825</v>
      </c>
      <c r="E6" s="104">
        <f>SUM(B6:D6)</f>
        <v>100</v>
      </c>
      <c r="F6" s="174">
        <v>26.454161725762944</v>
      </c>
      <c r="G6" s="174">
        <v>74.50275137366525</v>
      </c>
      <c r="H6" s="264">
        <v>61.915244748507156</v>
      </c>
      <c r="I6" s="157">
        <f t="shared" si="0"/>
        <v>1.5546763600439217</v>
      </c>
      <c r="J6" s="104">
        <f t="shared" si="0"/>
        <v>33.268037600231956</v>
      </c>
      <c r="K6" s="159">
        <f t="shared" si="0"/>
        <v>30.629283565587546</v>
      </c>
      <c r="L6" s="265">
        <f t="shared" si="1"/>
        <v>98.44532363995607</v>
      </c>
      <c r="M6" s="104">
        <f t="shared" si="1"/>
        <v>66.73196239976804</v>
      </c>
      <c r="N6" s="104">
        <f t="shared" si="1"/>
        <v>69.37071643441246</v>
      </c>
    </row>
    <row r="7" spans="1:14" s="81" customFormat="1" ht="12.75">
      <c r="A7" s="173" t="s">
        <v>155</v>
      </c>
      <c r="B7" s="174">
        <v>4.142848997434192</v>
      </c>
      <c r="C7" s="174">
        <v>35.081212581963314</v>
      </c>
      <c r="D7" s="174">
        <v>60.77593842060249</v>
      </c>
      <c r="E7" s="104">
        <f>SUM(B7:D7)</f>
        <v>100</v>
      </c>
      <c r="F7" s="174">
        <v>31.73652145190296</v>
      </c>
      <c r="G7" s="174">
        <v>72.64186005185833</v>
      </c>
      <c r="H7" s="264">
        <v>67.93709029479074</v>
      </c>
      <c r="I7" s="157">
        <f t="shared" si="0"/>
        <v>1.314796160790649</v>
      </c>
      <c r="J7" s="104">
        <f t="shared" si="0"/>
        <v>25.483645348284707</v>
      </c>
      <c r="K7" s="159">
        <f t="shared" si="0"/>
        <v>41.289404162311136</v>
      </c>
      <c r="L7" s="265">
        <f t="shared" si="1"/>
        <v>98.68520383920935</v>
      </c>
      <c r="M7" s="104">
        <f t="shared" si="1"/>
        <v>74.51635465171529</v>
      </c>
      <c r="N7" s="104">
        <f t="shared" si="1"/>
        <v>58.710595837688864</v>
      </c>
    </row>
    <row r="8" spans="1:14" s="81" customFormat="1" ht="12.75">
      <c r="A8" s="176" t="s">
        <v>154</v>
      </c>
      <c r="B8" s="174">
        <v>8.9080928388395</v>
      </c>
      <c r="C8" s="174">
        <v>30.059247368398655</v>
      </c>
      <c r="D8" s="174">
        <v>61.03263615810075</v>
      </c>
      <c r="E8" s="104">
        <f>SUM(B8:D8)</f>
        <v>99.99997636533891</v>
      </c>
      <c r="F8" s="174">
        <v>53.320969573476816</v>
      </c>
      <c r="G8" s="174">
        <v>74.74817762450769</v>
      </c>
      <c r="H8" s="264">
        <v>69.24559778433171</v>
      </c>
      <c r="I8" s="157">
        <f t="shared" si="0"/>
        <v>4.749881472174678</v>
      </c>
      <c r="J8" s="104">
        <f t="shared" si="0"/>
        <v>22.468739615520782</v>
      </c>
      <c r="K8" s="159">
        <f t="shared" si="0"/>
        <v>42.26241375121304</v>
      </c>
      <c r="L8" s="265">
        <f t="shared" si="1"/>
        <v>95.25009489316423</v>
      </c>
      <c r="M8" s="104">
        <f t="shared" si="1"/>
        <v>77.53123674981813</v>
      </c>
      <c r="N8" s="104">
        <f t="shared" si="1"/>
        <v>57.73756261412587</v>
      </c>
    </row>
    <row r="9" spans="1:14" s="81" customFormat="1" ht="13.5" thickBot="1">
      <c r="A9" s="173" t="s">
        <v>209</v>
      </c>
      <c r="B9" s="104">
        <f>AVERAGE(B5:B8)</f>
        <v>5.48364656179561</v>
      </c>
      <c r="C9" s="104">
        <f>AVERAGE(C5:C8)</f>
        <v>38.97620816058158</v>
      </c>
      <c r="D9" s="104">
        <f>AVERAGE(D5:D8)</f>
        <v>55.54013936895754</v>
      </c>
      <c r="E9" s="104">
        <f>SUM(B9:D9)</f>
        <v>99.99999409133473</v>
      </c>
      <c r="F9" s="104">
        <f>AVERAGE(F5:F8)</f>
        <v>34.560164307691736</v>
      </c>
      <c r="G9" s="104">
        <f>AVERAGE(G5:G8)</f>
        <v>74.92938891954165</v>
      </c>
      <c r="H9" s="104">
        <f>AVERAGE(H5:H8)</f>
        <v>65.8481789149516</v>
      </c>
      <c r="I9" s="160">
        <f t="shared" si="0"/>
        <v>1.895157261809652</v>
      </c>
      <c r="J9" s="161">
        <f t="shared" si="0"/>
        <v>29.204634598732298</v>
      </c>
      <c r="K9" s="163">
        <f t="shared" si="0"/>
        <v>36.57217034128464</v>
      </c>
      <c r="L9" s="265">
        <f t="shared" si="1"/>
        <v>98.10483682952507</v>
      </c>
      <c r="M9" s="104">
        <f t="shared" si="1"/>
        <v>70.79535949260243</v>
      </c>
      <c r="N9" s="104">
        <f t="shared" si="1"/>
        <v>63.42782375005009</v>
      </c>
    </row>
    <row r="10" spans="2:14" ht="12.75">
      <c r="B10" s="231"/>
      <c r="C10" s="248"/>
      <c r="D10" s="248"/>
      <c r="E10" s="249"/>
      <c r="F10" s="248"/>
      <c r="G10" s="248"/>
      <c r="H10" s="249" t="s">
        <v>163</v>
      </c>
      <c r="I10" s="267"/>
      <c r="J10" s="267"/>
      <c r="K10" s="267"/>
      <c r="L10" s="248"/>
      <c r="M10" s="248"/>
      <c r="N10" s="251"/>
    </row>
    <row r="11" spans="1:14" ht="12.75">
      <c r="A11" s="173" t="s">
        <v>292</v>
      </c>
      <c r="B11" s="174">
        <v>1.923236012459999</v>
      </c>
      <c r="C11" s="174">
        <v>25.186231221282508</v>
      </c>
      <c r="D11" s="174">
        <v>72.89049410902422</v>
      </c>
      <c r="E11" s="104">
        <f>SUM(B11:D11)</f>
        <v>99.99996134276672</v>
      </c>
      <c r="F11" s="174">
        <v>18.474000522602562</v>
      </c>
      <c r="G11" s="174">
        <v>87.43505641362522</v>
      </c>
      <c r="H11" s="174">
        <v>79.23798724940455</v>
      </c>
      <c r="I11" s="104">
        <f aca="true" t="shared" si="2" ref="I11:K15">((F11/100)*(B11/100))*100</f>
        <v>0.3552986309927409</v>
      </c>
      <c r="J11" s="104">
        <f t="shared" si="2"/>
        <v>22.02159547679445</v>
      </c>
      <c r="K11" s="104">
        <f t="shared" si="2"/>
        <v>57.75696042813658</v>
      </c>
      <c r="L11" s="104">
        <f aca="true" t="shared" si="3" ref="L11:N15">$E11-I11</f>
        <v>99.64466271177399</v>
      </c>
      <c r="M11" s="104">
        <f t="shared" si="3"/>
        <v>77.97836586597228</v>
      </c>
      <c r="N11" s="104">
        <f t="shared" si="3"/>
        <v>42.243000914630144</v>
      </c>
    </row>
    <row r="12" spans="1:14" ht="12.75">
      <c r="A12" s="173" t="s">
        <v>293</v>
      </c>
      <c r="B12" s="174">
        <v>3.7881849419046563</v>
      </c>
      <c r="C12" s="174">
        <v>25.218969925268595</v>
      </c>
      <c r="D12" s="174">
        <v>70.99284513282676</v>
      </c>
      <c r="E12" s="104">
        <f>SUM(B12:D12)</f>
        <v>100.00000000000001</v>
      </c>
      <c r="F12" s="174">
        <v>31.237045021142528</v>
      </c>
      <c r="G12" s="174">
        <v>87.03545333776155</v>
      </c>
      <c r="H12" s="174">
        <v>78.74090645650804</v>
      </c>
      <c r="I12" s="104">
        <f t="shared" si="2"/>
        <v>1.1833170357868996</v>
      </c>
      <c r="J12" s="104">
        <f t="shared" si="2"/>
        <v>21.949444801571268</v>
      </c>
      <c r="K12" s="104">
        <f t="shared" si="2"/>
        <v>55.90040977685273</v>
      </c>
      <c r="L12" s="104">
        <f t="shared" si="3"/>
        <v>98.81668296421311</v>
      </c>
      <c r="M12" s="104">
        <f t="shared" si="3"/>
        <v>78.05055519842875</v>
      </c>
      <c r="N12" s="104">
        <f t="shared" si="3"/>
        <v>44.09959022314728</v>
      </c>
    </row>
    <row r="13" spans="1:14" ht="12.75">
      <c r="A13" s="173" t="s">
        <v>155</v>
      </c>
      <c r="B13" s="174">
        <v>3.3832976695236603</v>
      </c>
      <c r="C13" s="174">
        <v>18.243497091279906</v>
      </c>
      <c r="D13" s="174">
        <v>78.37314690144889</v>
      </c>
      <c r="E13" s="104">
        <f>SUM(B13:D13)</f>
        <v>99.99994166225245</v>
      </c>
      <c r="F13" s="174">
        <v>30.276747995516857</v>
      </c>
      <c r="G13" s="174">
        <v>80.8574388754229</v>
      </c>
      <c r="H13" s="174">
        <v>78.07490929987092</v>
      </c>
      <c r="I13" s="104">
        <f t="shared" si="2"/>
        <v>1.0243525093398735</v>
      </c>
      <c r="J13" s="104">
        <f t="shared" si="2"/>
        <v>14.751224509321206</v>
      </c>
      <c r="K13" s="104">
        <f t="shared" si="2"/>
        <v>61.18976335876082</v>
      </c>
      <c r="L13" s="104">
        <f t="shared" si="3"/>
        <v>98.97558915291258</v>
      </c>
      <c r="M13" s="104">
        <f t="shared" si="3"/>
        <v>85.24871715293125</v>
      </c>
      <c r="N13" s="104">
        <f t="shared" si="3"/>
        <v>38.81017830349163</v>
      </c>
    </row>
    <row r="14" spans="1:14" ht="12.75">
      <c r="A14" s="176" t="s">
        <v>154</v>
      </c>
      <c r="B14" s="174">
        <v>9.87707155343446</v>
      </c>
      <c r="C14" s="174">
        <v>10.82912994620494</v>
      </c>
      <c r="D14" s="174">
        <v>79.2937985003606</v>
      </c>
      <c r="E14" s="104">
        <f>SUM(B14:D14)</f>
        <v>100</v>
      </c>
      <c r="F14" s="174">
        <v>57.531537749439906</v>
      </c>
      <c r="G14" s="174">
        <v>77.47057295309658</v>
      </c>
      <c r="H14" s="174">
        <v>78.96391638623467</v>
      </c>
      <c r="I14" s="104">
        <f t="shared" si="2"/>
        <v>5.682431149303337</v>
      </c>
      <c r="J14" s="104">
        <f t="shared" si="2"/>
        <v>8.389389015160328</v>
      </c>
      <c r="K14" s="104">
        <f t="shared" si="2"/>
        <v>62.613488747294134</v>
      </c>
      <c r="L14" s="104">
        <f t="shared" si="3"/>
        <v>94.31756885069666</v>
      </c>
      <c r="M14" s="104">
        <f t="shared" si="3"/>
        <v>91.61061098483967</v>
      </c>
      <c r="N14" s="104">
        <f t="shared" si="3"/>
        <v>37.386511252705866</v>
      </c>
    </row>
    <row r="15" spans="1:14" s="81" customFormat="1" ht="12.75">
      <c r="A15" s="173" t="s">
        <v>209</v>
      </c>
      <c r="B15" s="104">
        <f>AVERAGE(B11:B14)</f>
        <v>4.742947544330693</v>
      </c>
      <c r="C15" s="104">
        <f>AVERAGE(C11:C14)</f>
        <v>19.86945704600899</v>
      </c>
      <c r="D15" s="104">
        <f>AVERAGE(D11:D14)</f>
        <v>75.38757116091512</v>
      </c>
      <c r="E15" s="104">
        <f>SUM(B15:D15)</f>
        <v>99.9999757512548</v>
      </c>
      <c r="F15" s="104">
        <f>AVERAGE(F11:F14)</f>
        <v>34.37983282217546</v>
      </c>
      <c r="G15" s="104">
        <f>AVERAGE(G11:G14)</f>
        <v>83.19963039497657</v>
      </c>
      <c r="H15" s="104">
        <f>AVERAGE(H11:H14)</f>
        <v>78.75442984800455</v>
      </c>
      <c r="I15" s="104">
        <f t="shared" si="2"/>
        <v>1.6306174365843684</v>
      </c>
      <c r="J15" s="104">
        <f t="shared" si="2"/>
        <v>16.53131482376811</v>
      </c>
      <c r="K15" s="104">
        <f t="shared" si="2"/>
        <v>59.3710518440374</v>
      </c>
      <c r="L15" s="104">
        <f t="shared" si="3"/>
        <v>98.36935831467042</v>
      </c>
      <c r="M15" s="104">
        <f t="shared" si="3"/>
        <v>83.46866092748668</v>
      </c>
      <c r="N15" s="104">
        <f t="shared" si="3"/>
        <v>40.62892390721739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6.00390625" style="0" customWidth="1"/>
    <col min="2" max="2" width="10.7109375" style="0" bestFit="1" customWidth="1"/>
    <col min="4" max="4" width="8.8515625" style="0" bestFit="1" customWidth="1"/>
    <col min="5" max="5" width="8.7109375" style="0" customWidth="1"/>
    <col min="6" max="6" width="9.7109375" style="0" customWidth="1"/>
    <col min="7" max="7" width="8.57421875" style="0" customWidth="1"/>
    <col min="8" max="8" width="7.8515625" style="0" customWidth="1"/>
    <col min="9" max="9" width="8.421875" style="19" customWidth="1"/>
    <col min="10" max="10" width="8.140625" style="0" customWidth="1"/>
    <col min="13" max="13" width="5.7109375" style="0" bestFit="1" customWidth="1"/>
  </cols>
  <sheetData>
    <row r="1" spans="1:10" ht="12.75">
      <c r="A1" s="4" t="s">
        <v>279</v>
      </c>
      <c r="F1" s="4" t="s">
        <v>272</v>
      </c>
      <c r="J1" s="4"/>
    </row>
    <row r="2" spans="1:9" s="58" customFormat="1" ht="12">
      <c r="A2" s="56"/>
      <c r="B2" s="51"/>
      <c r="C2" s="56"/>
      <c r="D2" s="51"/>
      <c r="E2" s="51"/>
      <c r="F2" s="56"/>
      <c r="G2" s="51"/>
      <c r="H2" s="56"/>
      <c r="I2" s="57"/>
    </row>
    <row r="3" spans="1:21" s="59" customFormat="1" ht="12.75">
      <c r="A3" s="268"/>
      <c r="B3" s="269"/>
      <c r="C3" s="270" t="s">
        <v>248</v>
      </c>
      <c r="D3" s="271"/>
      <c r="E3" s="272"/>
      <c r="F3" s="272"/>
      <c r="G3" s="272"/>
      <c r="H3" s="272"/>
      <c r="I3" s="272"/>
      <c r="J3" s="272"/>
      <c r="K3" s="272"/>
      <c r="L3" s="272"/>
      <c r="M3" s="272"/>
      <c r="N3" s="273"/>
      <c r="O3" s="164"/>
      <c r="P3" s="164"/>
      <c r="Q3" s="164"/>
      <c r="R3" s="164"/>
      <c r="S3" s="164"/>
      <c r="T3" s="164"/>
      <c r="U3" s="164"/>
    </row>
    <row r="4" spans="1:21" s="59" customFormat="1" ht="11.25">
      <c r="A4" s="164"/>
      <c r="B4" s="126" t="s">
        <v>249</v>
      </c>
      <c r="C4" s="126" t="s">
        <v>251</v>
      </c>
      <c r="D4" s="126" t="s">
        <v>250</v>
      </c>
      <c r="E4" s="272"/>
      <c r="F4" s="272"/>
      <c r="G4" s="272"/>
      <c r="H4" s="272"/>
      <c r="I4" s="272"/>
      <c r="J4" s="272"/>
      <c r="K4" s="272"/>
      <c r="L4" s="272"/>
      <c r="M4" s="272"/>
      <c r="N4" s="273"/>
      <c r="O4" s="164"/>
      <c r="P4" s="164"/>
      <c r="Q4" s="164"/>
      <c r="R4" s="164"/>
      <c r="S4" s="164"/>
      <c r="T4" s="164"/>
      <c r="U4" s="164"/>
    </row>
    <row r="5" spans="1:21" s="81" customFormat="1" ht="12.75">
      <c r="A5" s="274" t="s">
        <v>246</v>
      </c>
      <c r="B5" s="275">
        <v>62.8</v>
      </c>
      <c r="C5" s="275">
        <v>25.5</v>
      </c>
      <c r="D5" s="275">
        <v>11.6</v>
      </c>
      <c r="E5" s="92"/>
      <c r="F5" s="91"/>
      <c r="G5" s="91"/>
      <c r="H5" s="276"/>
      <c r="I5" s="276"/>
      <c r="J5" s="276"/>
      <c r="K5" s="276"/>
      <c r="L5" s="276"/>
      <c r="M5" s="276"/>
      <c r="N5" s="276"/>
      <c r="O5" s="94"/>
      <c r="P5" s="94"/>
      <c r="Q5" s="94"/>
      <c r="R5" s="94"/>
      <c r="S5" s="94"/>
      <c r="T5" s="94"/>
      <c r="U5" s="94"/>
    </row>
    <row r="6" spans="1:21" s="81" customFormat="1" ht="12.75">
      <c r="A6" s="72" t="s">
        <v>247</v>
      </c>
      <c r="B6" s="174">
        <v>70.5</v>
      </c>
      <c r="C6" s="174">
        <v>21</v>
      </c>
      <c r="D6" s="174">
        <v>8.2</v>
      </c>
      <c r="E6" s="92"/>
      <c r="F6" s="91"/>
      <c r="G6" s="91"/>
      <c r="H6" s="276"/>
      <c r="I6" s="276"/>
      <c r="J6" s="276"/>
      <c r="K6" s="276"/>
      <c r="L6" s="276"/>
      <c r="M6" s="276"/>
      <c r="N6" s="276"/>
      <c r="O6" s="94"/>
      <c r="P6" s="94"/>
      <c r="Q6" s="94"/>
      <c r="R6" s="94"/>
      <c r="S6" s="94"/>
      <c r="T6" s="94"/>
      <c r="U6" s="94"/>
    </row>
    <row r="7" spans="1:14" s="81" customFormat="1" ht="12.75">
      <c r="A7" s="86" t="s">
        <v>164</v>
      </c>
      <c r="B7" s="277">
        <f>AVERAGE(B5:B6)</f>
        <v>66.65</v>
      </c>
      <c r="C7" s="277">
        <f>AVERAGE(C5:C6)</f>
        <v>23.25</v>
      </c>
      <c r="D7" s="277">
        <f>AVERAGE(D5:D6)</f>
        <v>9.899999999999999</v>
      </c>
      <c r="E7" s="92"/>
      <c r="F7" s="91"/>
      <c r="G7" s="91"/>
      <c r="H7" s="278"/>
      <c r="I7" s="278"/>
      <c r="J7" s="278"/>
      <c r="K7" s="278"/>
      <c r="L7" s="278"/>
      <c r="M7" s="278"/>
      <c r="N7" s="278"/>
    </row>
    <row r="8" spans="1:14" s="81" customFormat="1" ht="12.75">
      <c r="A8" s="72"/>
      <c r="B8" s="264"/>
      <c r="C8" s="279" t="s">
        <v>252</v>
      </c>
      <c r="D8" s="280"/>
      <c r="E8" s="281"/>
      <c r="F8" s="280"/>
      <c r="G8" s="280"/>
      <c r="H8" s="282"/>
      <c r="I8" s="282"/>
      <c r="J8" s="283"/>
      <c r="K8" s="278"/>
      <c r="L8" s="278"/>
      <c r="M8" s="278"/>
      <c r="N8" s="278"/>
    </row>
    <row r="9" spans="1:14" s="81" customFormat="1" ht="45">
      <c r="A9" s="72"/>
      <c r="B9" s="284" t="s">
        <v>253</v>
      </c>
      <c r="C9" s="284" t="s">
        <v>254</v>
      </c>
      <c r="D9" s="285" t="s">
        <v>255</v>
      </c>
      <c r="E9" s="285" t="s">
        <v>256</v>
      </c>
      <c r="F9" s="247" t="s">
        <v>257</v>
      </c>
      <c r="G9" s="247" t="s">
        <v>258</v>
      </c>
      <c r="H9" s="284" t="s">
        <v>259</v>
      </c>
      <c r="I9" s="284" t="s">
        <v>260</v>
      </c>
      <c r="J9" s="285" t="s">
        <v>261</v>
      </c>
      <c r="K9" s="278"/>
      <c r="L9" s="278"/>
      <c r="M9" s="278"/>
      <c r="N9" s="278"/>
    </row>
    <row r="10" spans="1:14" s="81" customFormat="1" ht="12.75">
      <c r="A10" s="173" t="s">
        <v>246</v>
      </c>
      <c r="B10" s="286">
        <v>51.8</v>
      </c>
      <c r="C10" s="286">
        <v>70.1</v>
      </c>
      <c r="D10" s="286">
        <v>44.8</v>
      </c>
      <c r="E10" s="286">
        <v>5.9</v>
      </c>
      <c r="F10" s="286">
        <v>20.8</v>
      </c>
      <c r="G10" s="286">
        <v>12.2</v>
      </c>
      <c r="H10" s="286">
        <v>1.3</v>
      </c>
      <c r="I10" s="286">
        <v>24.8</v>
      </c>
      <c r="J10" s="286">
        <v>9.3</v>
      </c>
      <c r="K10" s="278"/>
      <c r="L10" s="278"/>
      <c r="M10" s="278"/>
      <c r="N10" s="278"/>
    </row>
    <row r="11" spans="1:14" s="81" customFormat="1" ht="12.75">
      <c r="A11" s="173" t="s">
        <v>247</v>
      </c>
      <c r="B11" s="286">
        <v>46.8</v>
      </c>
      <c r="C11" s="286">
        <v>51.6</v>
      </c>
      <c r="D11" s="286">
        <v>56.3</v>
      </c>
      <c r="E11" s="286">
        <v>16.6</v>
      </c>
      <c r="F11" s="286">
        <v>20.6</v>
      </c>
      <c r="G11" s="286">
        <v>7.4</v>
      </c>
      <c r="H11" s="286">
        <v>1.2</v>
      </c>
      <c r="I11" s="286">
        <v>27.9</v>
      </c>
      <c r="J11" s="286">
        <v>6.6</v>
      </c>
      <c r="K11" s="278"/>
      <c r="L11" s="278"/>
      <c r="M11" s="278"/>
      <c r="N11" s="278"/>
    </row>
    <row r="12" spans="1:14" s="81" customFormat="1" ht="12.75">
      <c r="A12" s="95" t="s">
        <v>164</v>
      </c>
      <c r="B12" s="112">
        <f aca="true" t="shared" si="0" ref="B12:J12">AVERAGE(B10:B11)</f>
        <v>49.3</v>
      </c>
      <c r="C12" s="112">
        <f t="shared" si="0"/>
        <v>60.849999999999994</v>
      </c>
      <c r="D12" s="112">
        <f t="shared" si="0"/>
        <v>50.55</v>
      </c>
      <c r="E12" s="112">
        <f t="shared" si="0"/>
        <v>11.25</v>
      </c>
      <c r="F12" s="112">
        <f t="shared" si="0"/>
        <v>20.700000000000003</v>
      </c>
      <c r="G12" s="112">
        <f t="shared" si="0"/>
        <v>9.8</v>
      </c>
      <c r="H12" s="112">
        <f t="shared" si="0"/>
        <v>1.25</v>
      </c>
      <c r="I12" s="112">
        <f t="shared" si="0"/>
        <v>26.35</v>
      </c>
      <c r="J12" s="112">
        <f t="shared" si="0"/>
        <v>7.95</v>
      </c>
      <c r="K12" s="278"/>
      <c r="L12" s="278"/>
      <c r="M12" s="278"/>
      <c r="N12" s="278"/>
    </row>
    <row r="13" spans="1:14" s="81" customFormat="1" ht="12" customHeight="1">
      <c r="A13" s="287" t="s">
        <v>282</v>
      </c>
      <c r="B13" s="288">
        <f>COUNTA(B9:J9)</f>
        <v>9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</row>
    <row r="14" spans="1:14" s="81" customFormat="1" ht="12" customHeight="1">
      <c r="A14" s="287" t="s">
        <v>274</v>
      </c>
      <c r="B14" s="289">
        <f>MAX(B12:J12)</f>
        <v>60.849999999999994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</row>
    <row r="15" spans="1:14" s="81" customFormat="1" ht="12.75">
      <c r="A15" s="287" t="s">
        <v>275</v>
      </c>
      <c r="B15" s="289">
        <f>MIN(B12:J12)</f>
        <v>1.25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</row>
    <row r="16" spans="1:14" s="81" customFormat="1" ht="12.75">
      <c r="A16" s="290"/>
      <c r="B16" s="291"/>
      <c r="C16" s="292"/>
      <c r="D16" s="293" t="s">
        <v>277</v>
      </c>
      <c r="E16" s="292"/>
      <c r="F16" s="294"/>
      <c r="G16" s="295"/>
      <c r="H16" s="295"/>
      <c r="I16" s="295"/>
      <c r="J16" s="295"/>
      <c r="K16" s="295"/>
      <c r="L16" s="295"/>
      <c r="M16" s="295"/>
      <c r="N16" s="295"/>
    </row>
    <row r="17" spans="1:9" s="81" customFormat="1" ht="12.75">
      <c r="A17" s="95" t="s">
        <v>262</v>
      </c>
      <c r="B17" s="296">
        <v>1982</v>
      </c>
      <c r="C17" s="296">
        <v>1985</v>
      </c>
      <c r="D17" s="296">
        <v>1988</v>
      </c>
      <c r="E17" s="297">
        <v>1995</v>
      </c>
      <c r="F17" s="296">
        <v>2000</v>
      </c>
      <c r="G17" s="91"/>
      <c r="H17" s="91"/>
      <c r="I17" s="92"/>
    </row>
    <row r="18" spans="1:9" s="81" customFormat="1" ht="12.75">
      <c r="A18" s="173" t="s">
        <v>246</v>
      </c>
      <c r="B18" s="298">
        <v>21.5</v>
      </c>
      <c r="C18" s="298">
        <v>30.4</v>
      </c>
      <c r="D18" s="298">
        <v>31.9</v>
      </c>
      <c r="E18" s="298">
        <v>23.7</v>
      </c>
      <c r="F18" s="298">
        <v>25.6</v>
      </c>
      <c r="G18" s="91"/>
      <c r="H18" s="91"/>
      <c r="I18" s="92"/>
    </row>
    <row r="19" spans="1:9" s="81" customFormat="1" ht="12.75">
      <c r="A19" s="173" t="s">
        <v>247</v>
      </c>
      <c r="B19" s="298">
        <v>9.5</v>
      </c>
      <c r="C19" s="298">
        <v>14.4</v>
      </c>
      <c r="D19" s="298">
        <v>14.4</v>
      </c>
      <c r="E19" s="298">
        <v>12.7</v>
      </c>
      <c r="F19" s="298">
        <v>15.4</v>
      </c>
      <c r="G19" s="91"/>
      <c r="H19" s="91"/>
      <c r="I19" s="92"/>
    </row>
    <row r="20" spans="1:9" s="81" customFormat="1" ht="13.5" thickBot="1">
      <c r="A20" s="299" t="s">
        <v>164</v>
      </c>
      <c r="B20" s="277">
        <f>AVERAGE(B18:B19)</f>
        <v>15.5</v>
      </c>
      <c r="C20" s="300">
        <f>AVERAGE(C18:C19)</f>
        <v>22.4</v>
      </c>
      <c r="D20" s="300">
        <f>AVERAGE(D18:D19)</f>
        <v>23.15</v>
      </c>
      <c r="E20" s="300">
        <f>AVERAGE(E18:E19)</f>
        <v>18.2</v>
      </c>
      <c r="F20" s="300">
        <f>AVERAGE(F18:F19)</f>
        <v>20.5</v>
      </c>
      <c r="G20" s="91"/>
      <c r="H20" s="91"/>
      <c r="I20" s="92"/>
    </row>
    <row r="21" spans="1:9" s="81" customFormat="1" ht="22.5">
      <c r="A21" s="301" t="s">
        <v>281</v>
      </c>
      <c r="B21" s="112">
        <f>AVERAGE(B19:F19)</f>
        <v>13.280000000000001</v>
      </c>
      <c r="C21" s="105"/>
      <c r="D21" s="105"/>
      <c r="E21" s="105"/>
      <c r="F21" s="105"/>
      <c r="G21" s="91"/>
      <c r="H21" s="91"/>
      <c r="I21" s="92"/>
    </row>
    <row r="22" spans="1:9" s="81" customFormat="1" ht="22.5">
      <c r="A22" s="301" t="s">
        <v>280</v>
      </c>
      <c r="B22" s="112">
        <f>AVERAGE(B18:F18)</f>
        <v>26.619999999999997</v>
      </c>
      <c r="C22" s="105"/>
      <c r="D22" s="105"/>
      <c r="E22" s="105"/>
      <c r="F22" s="105"/>
      <c r="G22" s="91"/>
      <c r="H22" s="91"/>
      <c r="I22" s="92"/>
    </row>
    <row r="23" spans="1:9" s="81" customFormat="1" ht="22.5">
      <c r="A23" s="301" t="s">
        <v>278</v>
      </c>
      <c r="B23" s="112">
        <f>COUNTIF(B18:F18,"&gt;26,6")</f>
        <v>2</v>
      </c>
      <c r="C23" s="105"/>
      <c r="D23" s="105"/>
      <c r="E23" s="105"/>
      <c r="F23" s="105"/>
      <c r="G23" s="91"/>
      <c r="H23" s="91"/>
      <c r="I23" s="92"/>
    </row>
    <row r="24" spans="1:9" s="81" customFormat="1" ht="33.75">
      <c r="A24" s="301" t="s">
        <v>276</v>
      </c>
      <c r="B24" s="112">
        <f>COUNTIF(B19:F19,"&gt;13,3")</f>
        <v>3</v>
      </c>
      <c r="C24" s="105"/>
      <c r="D24" s="105"/>
      <c r="E24" s="105"/>
      <c r="F24" s="105"/>
      <c r="G24" s="91"/>
      <c r="H24" s="91"/>
      <c r="I24" s="92"/>
    </row>
    <row r="25" spans="1:11" s="81" customFormat="1" ht="12.75">
      <c r="A25" s="103"/>
      <c r="B25" s="264"/>
      <c r="C25" s="280"/>
      <c r="D25" s="302"/>
      <c r="E25" s="281"/>
      <c r="F25" s="302" t="s">
        <v>271</v>
      </c>
      <c r="G25" s="280"/>
      <c r="H25" s="280"/>
      <c r="I25" s="281"/>
      <c r="J25" s="303"/>
      <c r="K25" s="304"/>
    </row>
    <row r="26" spans="1:11" s="81" customFormat="1" ht="45">
      <c r="A26" s="173"/>
      <c r="B26" s="305" t="s">
        <v>244</v>
      </c>
      <c r="C26" s="305" t="s">
        <v>263</v>
      </c>
      <c r="D26" s="305" t="s">
        <v>264</v>
      </c>
      <c r="E26" s="305" t="s">
        <v>265</v>
      </c>
      <c r="F26" s="305" t="s">
        <v>266</v>
      </c>
      <c r="G26" s="305" t="s">
        <v>267</v>
      </c>
      <c r="H26" s="305" t="s">
        <v>268</v>
      </c>
      <c r="I26" s="305" t="s">
        <v>269</v>
      </c>
      <c r="J26" s="305" t="s">
        <v>270</v>
      </c>
      <c r="K26" s="305" t="s">
        <v>245</v>
      </c>
    </row>
    <row r="27" spans="1:27" s="81" customFormat="1" ht="12.75">
      <c r="A27" s="173" t="s">
        <v>246</v>
      </c>
      <c r="B27" s="174">
        <v>41</v>
      </c>
      <c r="C27" s="306">
        <v>6.5</v>
      </c>
      <c r="D27" s="306">
        <v>3.5</v>
      </c>
      <c r="E27" s="306">
        <v>10.2</v>
      </c>
      <c r="F27" s="174">
        <v>10</v>
      </c>
      <c r="G27" s="306">
        <v>4.8</v>
      </c>
      <c r="H27" s="306">
        <v>3.3</v>
      </c>
      <c r="I27" s="306">
        <v>16.7</v>
      </c>
      <c r="J27" s="306">
        <v>10.1</v>
      </c>
      <c r="K27" s="306">
        <v>13.2</v>
      </c>
      <c r="L27" s="266"/>
      <c r="M27" s="307"/>
      <c r="N27" s="308"/>
      <c r="O27" s="308"/>
      <c r="P27" s="308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s="81" customFormat="1" ht="12.75">
      <c r="A28" s="173" t="s">
        <v>247</v>
      </c>
      <c r="B28" s="306">
        <v>1.4</v>
      </c>
      <c r="C28" s="174">
        <v>5</v>
      </c>
      <c r="D28" s="306">
        <v>2.4</v>
      </c>
      <c r="E28" s="306">
        <v>3.6</v>
      </c>
      <c r="F28" s="306">
        <v>43.3</v>
      </c>
      <c r="G28" s="306">
        <v>1.8</v>
      </c>
      <c r="H28" s="306">
        <v>10</v>
      </c>
      <c r="I28" s="306">
        <v>29</v>
      </c>
      <c r="J28" s="306">
        <v>4.8</v>
      </c>
      <c r="K28" s="306">
        <v>11.9</v>
      </c>
      <c r="M28" s="307"/>
      <c r="N28" s="308"/>
      <c r="O28" s="308"/>
      <c r="P28" s="308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12" s="81" customFormat="1" ht="12.75">
      <c r="A29" s="86" t="s">
        <v>164</v>
      </c>
      <c r="B29" s="112">
        <f aca="true" t="shared" si="1" ref="B29:K29">AVERAGE(B27:B28)</f>
        <v>21.2</v>
      </c>
      <c r="C29" s="112">
        <f t="shared" si="1"/>
        <v>5.75</v>
      </c>
      <c r="D29" s="112">
        <f t="shared" si="1"/>
        <v>2.95</v>
      </c>
      <c r="E29" s="112">
        <f t="shared" si="1"/>
        <v>6.8999999999999995</v>
      </c>
      <c r="F29" s="112">
        <f t="shared" si="1"/>
        <v>26.65</v>
      </c>
      <c r="G29" s="112">
        <f t="shared" si="1"/>
        <v>3.3</v>
      </c>
      <c r="H29" s="112">
        <f t="shared" si="1"/>
        <v>6.65</v>
      </c>
      <c r="I29" s="112">
        <f t="shared" si="1"/>
        <v>22.85</v>
      </c>
      <c r="J29" s="112">
        <f t="shared" si="1"/>
        <v>7.449999999999999</v>
      </c>
      <c r="K29" s="112">
        <f t="shared" si="1"/>
        <v>12.55</v>
      </c>
      <c r="L29" s="266"/>
    </row>
    <row r="30" spans="1:11" s="81" customFormat="1" ht="33.75">
      <c r="A30" s="301" t="s">
        <v>273</v>
      </c>
      <c r="B30" s="309" t="str">
        <f aca="true" t="shared" si="2" ref="B30:K30">IF(B27&gt;B29,$A$27,$A$28)</f>
        <v>Maschi</v>
      </c>
      <c r="C30" s="309" t="str">
        <f t="shared" si="2"/>
        <v>Maschi</v>
      </c>
      <c r="D30" s="309" t="str">
        <f t="shared" si="2"/>
        <v>Maschi</v>
      </c>
      <c r="E30" s="309" t="str">
        <f t="shared" si="2"/>
        <v>Maschi</v>
      </c>
      <c r="F30" s="309" t="str">
        <f t="shared" si="2"/>
        <v>Femmine</v>
      </c>
      <c r="G30" s="309" t="str">
        <f t="shared" si="2"/>
        <v>Maschi</v>
      </c>
      <c r="H30" s="309" t="str">
        <f t="shared" si="2"/>
        <v>Femmine</v>
      </c>
      <c r="I30" s="309" t="str">
        <f t="shared" si="2"/>
        <v>Femmine</v>
      </c>
      <c r="J30" s="309" t="str">
        <f t="shared" si="2"/>
        <v>Maschi</v>
      </c>
      <c r="K30" s="309" t="str">
        <f t="shared" si="2"/>
        <v>Maschi</v>
      </c>
    </row>
    <row r="31" spans="1:9" s="81" customFormat="1" ht="12.75">
      <c r="A31" s="97"/>
      <c r="B31" s="91"/>
      <c r="C31" s="91"/>
      <c r="D31" s="91"/>
      <c r="E31" s="92"/>
      <c r="F31" s="91"/>
      <c r="G31" s="91"/>
      <c r="H31" s="91"/>
      <c r="I31" s="92"/>
    </row>
    <row r="32" spans="1:9" s="81" customFormat="1" ht="12.75">
      <c r="A32" s="97"/>
      <c r="B32" s="91"/>
      <c r="C32" s="91"/>
      <c r="D32" s="91"/>
      <c r="E32" s="92"/>
      <c r="F32" s="91"/>
      <c r="G32" s="91"/>
      <c r="H32" s="91"/>
      <c r="I32" s="92"/>
    </row>
    <row r="33" spans="1:9" s="81" customFormat="1" ht="12.75">
      <c r="A33" s="97"/>
      <c r="B33" s="91"/>
      <c r="C33" s="91"/>
      <c r="D33" s="91"/>
      <c r="E33" s="92"/>
      <c r="F33" s="91"/>
      <c r="G33" s="91"/>
      <c r="H33" s="91"/>
      <c r="I33" s="92"/>
    </row>
    <row r="34" spans="1:9" s="81" customFormat="1" ht="12.75">
      <c r="A34" s="97"/>
      <c r="B34" s="91"/>
      <c r="C34" s="91"/>
      <c r="D34" s="91"/>
      <c r="E34" s="92"/>
      <c r="F34" s="91"/>
      <c r="G34" s="91"/>
      <c r="H34" s="91"/>
      <c r="I34" s="92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Enel</dc:creator>
  <cp:keywords/>
  <dc:description/>
  <cp:lastModifiedBy>M Lazzari</cp:lastModifiedBy>
  <cp:lastPrinted>2003-12-19T14:02:31Z</cp:lastPrinted>
  <dcterms:created xsi:type="dcterms:W3CDTF">2003-03-04T19:20:28Z</dcterms:created>
  <dcterms:modified xsi:type="dcterms:W3CDTF">2006-05-22T13:20:10Z</dcterms:modified>
  <cp:category/>
  <cp:version/>
  <cp:contentType/>
  <cp:contentStatus/>
</cp:coreProperties>
</file>